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ividades Preventivas 4to Trimeste 2024\"/>
    </mc:Choice>
  </mc:AlternateContent>
  <xr:revisionPtr revIDLastSave="0" documentId="13_ncr:1_{F66CE53C-E3E3-4571-9F3B-B259D967919B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Enero-Diciemb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C84" i="1"/>
  <c r="E84" i="1"/>
  <c r="D84" i="1"/>
  <c r="B84" i="1"/>
  <c r="L100" i="1"/>
  <c r="H40" i="1"/>
  <c r="H39" i="1"/>
  <c r="J40" i="1"/>
  <c r="J39" i="1"/>
  <c r="I40" i="1"/>
  <c r="I39" i="1"/>
  <c r="G40" i="1"/>
  <c r="G39" i="1"/>
  <c r="F40" i="1"/>
  <c r="F39" i="1"/>
  <c r="C40" i="1"/>
  <c r="C39" i="1"/>
  <c r="E40" i="1"/>
  <c r="L40" i="1" s="1"/>
  <c r="E39" i="1"/>
  <c r="D39" i="1"/>
  <c r="H38" i="1"/>
  <c r="H37" i="1"/>
  <c r="J38" i="1"/>
  <c r="J37" i="1"/>
  <c r="J36" i="1"/>
  <c r="J35" i="1"/>
  <c r="J34" i="1"/>
  <c r="I38" i="1"/>
  <c r="I37" i="1"/>
  <c r="I36" i="1"/>
  <c r="I35" i="1"/>
  <c r="I34" i="1"/>
  <c r="G37" i="1"/>
  <c r="G36" i="1"/>
  <c r="G35" i="1"/>
  <c r="G34" i="1"/>
  <c r="F38" i="1"/>
  <c r="F37" i="1"/>
  <c r="F36" i="1"/>
  <c r="F35" i="1"/>
  <c r="F34" i="1"/>
  <c r="K37" i="1"/>
  <c r="K36" i="1"/>
  <c r="K35" i="1"/>
  <c r="K34" i="1"/>
  <c r="B38" i="1"/>
  <c r="B37" i="1"/>
  <c r="L37" i="1" s="1"/>
  <c r="B36" i="1"/>
  <c r="B35" i="1"/>
  <c r="B34" i="1"/>
  <c r="C38" i="1"/>
  <c r="L38" i="1" s="1"/>
  <c r="C37" i="1"/>
  <c r="C36" i="1"/>
  <c r="C35" i="1"/>
  <c r="C34" i="1"/>
  <c r="E38" i="1"/>
  <c r="E37" i="1"/>
  <c r="E36" i="1"/>
  <c r="E35" i="1"/>
  <c r="L35" i="1" s="1"/>
  <c r="E34" i="1"/>
  <c r="D38" i="1"/>
  <c r="D37" i="1"/>
  <c r="D36" i="1"/>
  <c r="L36" i="1" s="1"/>
  <c r="D35" i="1"/>
  <c r="D34" i="1"/>
  <c r="J33" i="1"/>
  <c r="J32" i="1"/>
  <c r="J31" i="1"/>
  <c r="J30" i="1"/>
  <c r="J29" i="1"/>
  <c r="I33" i="1"/>
  <c r="I32" i="1"/>
  <c r="I31" i="1"/>
  <c r="I30" i="1"/>
  <c r="I29" i="1"/>
  <c r="G33" i="1"/>
  <c r="G32" i="1"/>
  <c r="G31" i="1"/>
  <c r="G30" i="1"/>
  <c r="G29" i="1"/>
  <c r="F33" i="1"/>
  <c r="F32" i="1"/>
  <c r="F31" i="1"/>
  <c r="L31" i="1" s="1"/>
  <c r="F30" i="1"/>
  <c r="F29" i="1"/>
  <c r="K33" i="1"/>
  <c r="K32" i="1"/>
  <c r="K31" i="1"/>
  <c r="K30" i="1"/>
  <c r="K29" i="1"/>
  <c r="B33" i="1"/>
  <c r="B32" i="1"/>
  <c r="B31" i="1"/>
  <c r="B30" i="1"/>
  <c r="B29" i="1"/>
  <c r="L29" i="1" s="1"/>
  <c r="C33" i="1"/>
  <c r="C32" i="1"/>
  <c r="C31" i="1"/>
  <c r="C30" i="1"/>
  <c r="L30" i="1" s="1"/>
  <c r="C29" i="1"/>
  <c r="D33" i="1"/>
  <c r="E33" i="1"/>
  <c r="E32" i="1"/>
  <c r="E31" i="1"/>
  <c r="E30" i="1"/>
  <c r="E29" i="1"/>
  <c r="D32" i="1"/>
  <c r="D31" i="1"/>
  <c r="D30" i="1"/>
  <c r="L82" i="1"/>
  <c r="L83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81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9" i="1"/>
  <c r="L70" i="1"/>
  <c r="L50" i="1"/>
  <c r="L9" i="1"/>
  <c r="L10" i="1"/>
  <c r="L11" i="1"/>
  <c r="L12" i="1"/>
  <c r="L13" i="1"/>
  <c r="L14" i="1"/>
  <c r="L15" i="1"/>
  <c r="L16" i="1"/>
  <c r="L17" i="1"/>
  <c r="L18" i="1"/>
  <c r="L19" i="1"/>
  <c r="L8" i="1"/>
  <c r="L34" i="1" l="1"/>
  <c r="L32" i="1"/>
  <c r="L39" i="1"/>
  <c r="L84" i="1"/>
  <c r="L114" i="1" s="1"/>
  <c r="L33" i="1"/>
  <c r="L41" i="1" l="1"/>
  <c r="L71" i="1"/>
  <c r="L20" i="1"/>
  <c r="B114" i="1"/>
  <c r="J71" i="1"/>
  <c r="I71" i="1"/>
  <c r="H71" i="1"/>
  <c r="G71" i="1"/>
  <c r="F71" i="1"/>
  <c r="E71" i="1"/>
  <c r="D71" i="1"/>
  <c r="C71" i="1"/>
  <c r="B71" i="1"/>
  <c r="J41" i="1"/>
  <c r="I41" i="1"/>
  <c r="H41" i="1"/>
  <c r="G41" i="1"/>
  <c r="F41" i="1"/>
  <c r="E41" i="1"/>
  <c r="D41" i="1"/>
  <c r="C41" i="1"/>
  <c r="B41" i="1"/>
  <c r="K71" i="1" l="1"/>
  <c r="K41" i="1"/>
  <c r="J20" i="1" l="1"/>
  <c r="I20" i="1"/>
  <c r="H20" i="1"/>
  <c r="G20" i="1"/>
  <c r="F20" i="1"/>
  <c r="E20" i="1"/>
  <c r="D20" i="1"/>
  <c r="C20" i="1"/>
  <c r="B20" i="1"/>
  <c r="K20" i="1" l="1"/>
  <c r="C114" i="1" l="1"/>
  <c r="D114" i="1"/>
  <c r="E114" i="1"/>
  <c r="F114" i="1"/>
  <c r="G114" i="1"/>
  <c r="H114" i="1"/>
  <c r="I114" i="1"/>
  <c r="J114" i="1" l="1"/>
  <c r="K114" i="1" l="1"/>
</calcChain>
</file>

<file path=xl/sharedStrings.xml><?xml version="1.0" encoding="utf-8"?>
<sst xmlns="http://schemas.openxmlformats.org/spreadsheetml/2006/main" count="195" uniqueCount="92">
  <si>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</si>
  <si>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</si>
  <si>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</si>
  <si>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</si>
  <si>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</si>
  <si>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</si>
  <si>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</si>
  <si>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</si>
  <si>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</si>
  <si>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</si>
  <si>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 xml:space="preserve">CANTIDAD DE PARTICIPANTES POR LOS DEPARTAMENTOS  Y REGIONALES </t>
  </si>
  <si>
    <t>TABLA DE  TIPO DE ACTIVIDADES REALIZADAS POR LOS PROGRAMAS Y REGIONALES</t>
  </si>
  <si>
    <t>Curso</t>
  </si>
  <si>
    <t>Conversatorio</t>
  </si>
  <si>
    <t xml:space="preserve">Actividad recreativa </t>
  </si>
  <si>
    <t>Actividad cultural</t>
  </si>
  <si>
    <t>Actividad religiosa</t>
  </si>
  <si>
    <t>Actividad deportiva</t>
  </si>
  <si>
    <t>Seguimiento</t>
  </si>
  <si>
    <t>Capacitacion</t>
  </si>
  <si>
    <t>Graduación</t>
  </si>
  <si>
    <t>Festivales deportivos</t>
  </si>
  <si>
    <t>Campañas</t>
  </si>
  <si>
    <t>Conferencia</t>
  </si>
  <si>
    <t>Taller</t>
  </si>
  <si>
    <t xml:space="preserve">TABLA DE  NÚMERO DE ACTIVIDADES REALIZADAS POR LOS PROGRAMAS SEGÚN PROCEDENCIA 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</si>
  <si>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</si>
  <si>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</si>
  <si>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</si>
  <si>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</si>
  <si>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</si>
  <si>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</si>
  <si>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</si>
  <si>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</si>
  <si>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</si>
  <si>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</si>
  <si>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</si>
  <si>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</si>
  <si>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</si>
  <si>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</si>
  <si>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</si>
  <si>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</si>
  <si>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</si>
  <si>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</si>
  <si>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</si>
  <si>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</si>
  <si>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</si>
  <si>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</si>
  <si>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</si>
  <si>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</si>
  <si>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</si>
  <si>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</si>
  <si>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</si>
  <si>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</si>
  <si>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</si>
  <si>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</si>
  <si>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</si>
  <si>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</si>
  <si>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>Seminario</t>
  </si>
  <si>
    <t>Implementaciones</t>
  </si>
  <si>
    <t xml:space="preserve">D. N. y Sto. Dgo. </t>
  </si>
  <si>
    <t>OCTUBRE</t>
  </si>
  <si>
    <t>NOVIEMBRE</t>
  </si>
  <si>
    <t>DICIEMBRE</t>
  </si>
  <si>
    <t>Orientacion ciudadana</t>
  </si>
  <si>
    <t>Supervision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</si>
  <si>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</si>
  <si>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</si>
  <si>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</si>
  <si>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</si>
  <si>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</si>
  <si>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</si>
  <si>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</si>
  <si>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</si>
  <si>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Reuniones</t>
  </si>
  <si>
    <t>DRCNORTE</t>
  </si>
  <si>
    <t>DREN</t>
  </si>
  <si>
    <t>DRHI</t>
  </si>
  <si>
    <t>DROZAMA</t>
  </si>
  <si>
    <t xml:space="preserve">OCTUBRE </t>
  </si>
  <si>
    <t xml:space="preserve">ENERO </t>
  </si>
  <si>
    <t xml:space="preserve">AGOSTO </t>
  </si>
  <si>
    <t>Otras actividades</t>
  </si>
  <si>
    <t>Medios de Comunicación</t>
  </si>
  <si>
    <t>DRCNORESTE</t>
  </si>
  <si>
    <t>ENERO - DICIEMBRE 2024</t>
  </si>
  <si>
    <t>Tipo de Actividad</t>
  </si>
  <si>
    <t>Provincias</t>
  </si>
  <si>
    <t>DRVALDESIA</t>
  </si>
  <si>
    <t>Ocoa</t>
  </si>
  <si>
    <t>Monitoreo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</si>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</sst>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</cellStyleXfs>
  <cellXfs count="35">
    <xf numFmtId="0" fontId="0" fillId="0" borderId="0" xfId="0"/>
    <xf numFmtId="3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" fontId="7" fillId="0" borderId="0" xfId="6" applyNumberFormat="1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6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3" fontId="1" fillId="0" borderId="0" xfId="3" applyNumberFormat="1" applyFont="1" applyFill="1" applyBorder="1" applyAlignment="1">
      <alignment horizontal="center"/>
    </xf>
    <xf numFmtId="0" fontId="7" fillId="0" borderId="0" xfId="6" applyFont="1" applyFill="1" applyBorder="1"/>
    <xf numFmtId="0" fontId="1" fillId="0" borderId="0" xfId="5" applyFont="1" applyFill="1" applyBorder="1" applyAlignment="1">
      <alignment horizontal="center"/>
    </xf>
    <xf numFmtId="3" fontId="1" fillId="0" borderId="0" xfId="5" applyNumberFormat="1" applyFont="1" applyFill="1" applyBorder="1" applyAlignment="1">
      <alignment horizontal="center"/>
    </xf>
    <xf numFmtId="0" fontId="3" fillId="0" borderId="0" xfId="4" applyFont="1" applyFill="1" applyBorder="1"/>
    <xf numFmtId="0" fontId="9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</cellXfs>
  <cellStyles count="7">
    <cellStyle name="Énfasis2" xfId="6" builtinId="33"/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L134"/>
  <sheetViews>
    <sheetView showGridLines="0" tabSelected="1" topLeftCell="A103" zoomScale="90" zoomScaleNormal="90" workbookViewId="0">
      <selection activeCell="M7" sqref="M7"/>
    </sheetView>
  </sheetViews>
  <sheetFormatPr baseColWidth="10" defaultRowHeight="15" x14ac:dyDescent="0.25"/>
  <cols>
    <col min="1" max="1" width="23" customWidth="1"/>
    <col min="2" max="2" width="11.28515625" customWidth="1"/>
    <col min="3" max="3" width="7.5703125" customWidth="1"/>
    <col min="4" max="4" width="7.7109375" bestFit="1" customWidth="1"/>
    <col min="5" max="5" width="14.5703125" bestFit="1" customWidth="1"/>
    <col min="6" max="6" width="10.5703125" bestFit="1" customWidth="1"/>
    <col min="7" max="7" width="6" bestFit="1" customWidth="1"/>
    <col min="8" max="8" width="8.28515625" customWidth="1"/>
    <col min="9" max="9" width="6" bestFit="1" customWidth="1"/>
    <col min="10" max="10" width="9" customWidth="1"/>
  </cols>
  <sheetData>
    <row r="2" spans="1:12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 customHeight="1" x14ac:dyDescent="0.25">
      <c r="A3" s="33" t="s">
        <v>57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25">
      <c r="A4" s="34" t="s">
        <v>85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s="12" customFormat="1" x14ac:dyDescent="0.25">
      <c r="A5" s="9" t="s">
        <v>1</v>
      </c>
      <c r="B5" s="10" t="s">
        <v>2</v>
      </c>
      <c r="C5" s="10"/>
      <c r="D5" s="10"/>
      <c r="E5" s="10"/>
      <c r="F5" s="10" t="s">
        <v>3</v>
      </c>
      <c r="G5" s="10"/>
      <c r="H5" s="10"/>
      <c r="I5" s="10"/>
      <c r="J5" s="10"/>
      <c r="K5" s="10"/>
      <c r="L5" s="11" t="s">
        <v>4</v>
      </c>
    </row>
    <row r="6" spans="1:12" s="12" customFormat="1" x14ac:dyDescent="0.25">
      <c r="A6" s="9"/>
      <c r="B6" s="14" t="s">
        <v>5</v>
      </c>
      <c r="C6" s="14" t="s">
        <v>6</v>
      </c>
      <c r="D6" s="14" t="s">
        <v>7</v>
      </c>
      <c r="E6" s="14" t="s">
        <v>8</v>
      </c>
      <c r="F6" s="15" t="s">
        <v>75</v>
      </c>
      <c r="G6" s="15" t="s">
        <v>76</v>
      </c>
      <c r="H6" s="14" t="s">
        <v>88</v>
      </c>
      <c r="I6" s="15" t="s">
        <v>77</v>
      </c>
      <c r="J6" s="15" t="s">
        <v>78</v>
      </c>
      <c r="K6" s="14" t="s">
        <v>84</v>
      </c>
      <c r="L6" s="11"/>
    </row>
    <row r="7" spans="1:12" s="12" customFormat="1" x14ac:dyDescent="0.25">
      <c r="A7" s="9"/>
      <c r="B7" s="14" t="s">
        <v>9</v>
      </c>
      <c r="C7" s="14" t="s">
        <v>9</v>
      </c>
      <c r="D7" s="14" t="s">
        <v>9</v>
      </c>
      <c r="E7" s="14" t="s">
        <v>9</v>
      </c>
      <c r="F7" s="14" t="s">
        <v>9</v>
      </c>
      <c r="G7" s="14" t="s">
        <v>9</v>
      </c>
      <c r="H7" s="14" t="s">
        <v>9</v>
      </c>
      <c r="I7" s="14" t="s">
        <v>9</v>
      </c>
      <c r="J7" s="14" t="s">
        <v>9</v>
      </c>
      <c r="K7" s="14" t="s">
        <v>9</v>
      </c>
      <c r="L7" s="14" t="s">
        <v>9</v>
      </c>
    </row>
    <row r="8" spans="1:12" s="12" customFormat="1" x14ac:dyDescent="0.25">
      <c r="A8" s="16" t="s">
        <v>80</v>
      </c>
      <c r="B8" s="1">
        <v>9</v>
      </c>
      <c r="C8" s="1">
        <v>21</v>
      </c>
      <c r="D8" s="1">
        <v>2</v>
      </c>
      <c r="E8" s="1">
        <v>19</v>
      </c>
      <c r="F8" s="1">
        <v>19</v>
      </c>
      <c r="G8" s="1">
        <v>11</v>
      </c>
      <c r="H8" s="1">
        <v>0</v>
      </c>
      <c r="I8" s="1">
        <v>1</v>
      </c>
      <c r="J8" s="1">
        <v>8</v>
      </c>
      <c r="K8" s="17">
        <v>5</v>
      </c>
      <c r="L8" s="17">
        <f>B8+C8+D8+E8+F8+G8+H8+I8+J8+K8</f>
        <v>95</v>
      </c>
    </row>
    <row r="9" spans="1:12" s="12" customFormat="1" x14ac:dyDescent="0.25">
      <c r="A9" s="16" t="s">
        <v>66</v>
      </c>
      <c r="B9" s="1">
        <v>6</v>
      </c>
      <c r="C9" s="1">
        <v>25</v>
      </c>
      <c r="D9" s="1">
        <v>9</v>
      </c>
      <c r="E9" s="1">
        <v>15</v>
      </c>
      <c r="F9" s="1">
        <v>15</v>
      </c>
      <c r="G9" s="1">
        <v>13</v>
      </c>
      <c r="H9" s="1">
        <v>0</v>
      </c>
      <c r="I9" s="1">
        <v>1</v>
      </c>
      <c r="J9" s="1">
        <v>8</v>
      </c>
      <c r="K9" s="17">
        <v>6</v>
      </c>
      <c r="L9" s="17">
        <f>B9+C9+D9+E9+F9+G9+H9+I9+J9+K9</f>
        <v>98</v>
      </c>
    </row>
    <row r="10" spans="1:12" s="12" customFormat="1" x14ac:dyDescent="0.25">
      <c r="A10" s="16" t="s">
        <v>67</v>
      </c>
      <c r="B10" s="1">
        <v>7</v>
      </c>
      <c r="C10" s="1">
        <v>29</v>
      </c>
      <c r="D10" s="1">
        <v>7</v>
      </c>
      <c r="E10" s="1">
        <v>14</v>
      </c>
      <c r="F10" s="1">
        <v>24</v>
      </c>
      <c r="G10" s="1">
        <v>30</v>
      </c>
      <c r="H10" s="1">
        <v>0</v>
      </c>
      <c r="I10" s="1">
        <v>8</v>
      </c>
      <c r="J10" s="1">
        <v>23</v>
      </c>
      <c r="K10" s="17">
        <v>26</v>
      </c>
      <c r="L10" s="17">
        <f>B10+C10+D10+E10+F10+G10+H10+I10+J10+K10</f>
        <v>168</v>
      </c>
    </row>
    <row r="11" spans="1:12" s="12" customFormat="1" x14ac:dyDescent="0.25">
      <c r="A11" s="16" t="s">
        <v>68</v>
      </c>
      <c r="B11" s="1">
        <v>10</v>
      </c>
      <c r="C11" s="1">
        <v>38</v>
      </c>
      <c r="D11" s="1">
        <v>9</v>
      </c>
      <c r="E11" s="1">
        <v>17</v>
      </c>
      <c r="F11" s="1">
        <v>14</v>
      </c>
      <c r="G11" s="1">
        <v>22</v>
      </c>
      <c r="H11" s="1">
        <v>0</v>
      </c>
      <c r="I11" s="1">
        <v>12</v>
      </c>
      <c r="J11" s="1">
        <v>11</v>
      </c>
      <c r="K11" s="17">
        <v>13</v>
      </c>
      <c r="L11" s="17">
        <f>B11+C11+D11+E11+F11+G11+H11+I11+J11+K11</f>
        <v>146</v>
      </c>
    </row>
    <row r="12" spans="1:12" s="12" customFormat="1" x14ac:dyDescent="0.25">
      <c r="A12" s="16" t="s">
        <v>69</v>
      </c>
      <c r="B12" s="1">
        <v>5</v>
      </c>
      <c r="C12" s="1">
        <v>12</v>
      </c>
      <c r="D12" s="1">
        <v>10</v>
      </c>
      <c r="E12" s="1">
        <v>16</v>
      </c>
      <c r="F12" s="1">
        <v>8</v>
      </c>
      <c r="G12" s="1">
        <v>12</v>
      </c>
      <c r="H12" s="1">
        <v>0</v>
      </c>
      <c r="I12" s="1">
        <v>11</v>
      </c>
      <c r="J12" s="1">
        <v>3</v>
      </c>
      <c r="K12" s="17">
        <v>6</v>
      </c>
      <c r="L12" s="17">
        <f>B12+C12+D12+E12+F12+G12+H12+I12+J12+K12</f>
        <v>83</v>
      </c>
    </row>
    <row r="13" spans="1:12" s="12" customFormat="1" x14ac:dyDescent="0.25">
      <c r="A13" s="16" t="s">
        <v>70</v>
      </c>
      <c r="B13" s="1">
        <v>9</v>
      </c>
      <c r="C13" s="1">
        <v>9</v>
      </c>
      <c r="D13" s="1">
        <v>13</v>
      </c>
      <c r="E13" s="1">
        <v>18</v>
      </c>
      <c r="F13" s="1">
        <v>12</v>
      </c>
      <c r="G13" s="1">
        <v>6</v>
      </c>
      <c r="H13" s="1">
        <v>0</v>
      </c>
      <c r="I13" s="1">
        <v>8</v>
      </c>
      <c r="J13" s="1">
        <v>12</v>
      </c>
      <c r="K13" s="17">
        <v>13</v>
      </c>
      <c r="L13" s="17">
        <f>B13+C13+D13+E13+F13+G13+H13+I13+J13+K13</f>
        <v>100</v>
      </c>
    </row>
    <row r="14" spans="1:12" s="12" customFormat="1" x14ac:dyDescent="0.25">
      <c r="A14" s="16" t="s">
        <v>71</v>
      </c>
      <c r="B14" s="1">
        <v>10</v>
      </c>
      <c r="C14" s="1">
        <v>9</v>
      </c>
      <c r="D14" s="1">
        <v>8</v>
      </c>
      <c r="E14" s="1">
        <v>20</v>
      </c>
      <c r="F14" s="1">
        <v>10</v>
      </c>
      <c r="G14" s="1">
        <v>8</v>
      </c>
      <c r="H14" s="1">
        <v>0</v>
      </c>
      <c r="I14" s="1">
        <v>11</v>
      </c>
      <c r="J14" s="1">
        <v>4</v>
      </c>
      <c r="K14" s="17">
        <v>5</v>
      </c>
      <c r="L14" s="17">
        <f>B14+C14+D14+E14+F14+G14+H14+I14+J14+K14</f>
        <v>85</v>
      </c>
    </row>
    <row r="15" spans="1:12" s="12" customFormat="1" x14ac:dyDescent="0.25">
      <c r="A15" s="16" t="s">
        <v>81</v>
      </c>
      <c r="B15" s="1">
        <v>5</v>
      </c>
      <c r="C15" s="1">
        <v>5</v>
      </c>
      <c r="D15" s="1">
        <v>18</v>
      </c>
      <c r="E15" s="1">
        <v>24</v>
      </c>
      <c r="F15" s="1">
        <v>5</v>
      </c>
      <c r="G15" s="1">
        <v>2</v>
      </c>
      <c r="H15" s="1">
        <v>0</v>
      </c>
      <c r="I15" s="1">
        <v>8</v>
      </c>
      <c r="J15" s="1">
        <v>4</v>
      </c>
      <c r="K15" s="17">
        <v>6</v>
      </c>
      <c r="L15" s="17">
        <f>B15+C15+D15+E15+F15+G15+H15+I15+J15+K15</f>
        <v>77</v>
      </c>
    </row>
    <row r="16" spans="1:12" s="12" customFormat="1" x14ac:dyDescent="0.25">
      <c r="A16" s="16" t="s">
        <v>73</v>
      </c>
      <c r="B16" s="1">
        <v>4</v>
      </c>
      <c r="C16" s="1">
        <v>13</v>
      </c>
      <c r="D16" s="1">
        <v>12</v>
      </c>
      <c r="E16" s="1">
        <v>11</v>
      </c>
      <c r="F16" s="1">
        <v>11</v>
      </c>
      <c r="G16" s="1">
        <v>8</v>
      </c>
      <c r="H16" s="1">
        <v>32</v>
      </c>
      <c r="I16" s="1">
        <v>15</v>
      </c>
      <c r="J16" s="1">
        <v>3</v>
      </c>
      <c r="K16" s="17">
        <v>7</v>
      </c>
      <c r="L16" s="17">
        <f>B16+C16+D16+E16+F16+G16+H16+I16+J16+K16</f>
        <v>116</v>
      </c>
    </row>
    <row r="17" spans="1:12" s="12" customFormat="1" x14ac:dyDescent="0.25">
      <c r="A17" s="16" t="s">
        <v>61</v>
      </c>
      <c r="B17" s="1">
        <v>6</v>
      </c>
      <c r="C17" s="1">
        <v>18</v>
      </c>
      <c r="D17" s="1">
        <v>8</v>
      </c>
      <c r="E17" s="1">
        <v>12</v>
      </c>
      <c r="F17" s="1">
        <v>20</v>
      </c>
      <c r="G17" s="1">
        <v>2</v>
      </c>
      <c r="H17" s="1">
        <v>3</v>
      </c>
      <c r="I17" s="1">
        <v>18</v>
      </c>
      <c r="J17" s="1">
        <v>8</v>
      </c>
      <c r="K17" s="17">
        <v>0</v>
      </c>
      <c r="L17" s="17">
        <f>B17+C17+D17+E17+F17+G17+H17+I17+J17+K17</f>
        <v>95</v>
      </c>
    </row>
    <row r="18" spans="1:12" s="12" customFormat="1" x14ac:dyDescent="0.25">
      <c r="A18" s="16" t="s">
        <v>62</v>
      </c>
      <c r="B18" s="1">
        <v>0</v>
      </c>
      <c r="C18" s="1">
        <v>18</v>
      </c>
      <c r="D18" s="1">
        <v>5</v>
      </c>
      <c r="E18" s="1">
        <v>9</v>
      </c>
      <c r="F18" s="1">
        <v>23</v>
      </c>
      <c r="G18" s="1">
        <v>6</v>
      </c>
      <c r="H18" s="1">
        <v>4</v>
      </c>
      <c r="I18" s="1">
        <v>12</v>
      </c>
      <c r="J18" s="1">
        <v>1</v>
      </c>
      <c r="K18" s="17">
        <v>0</v>
      </c>
      <c r="L18" s="17">
        <f>B18+C18+D18+E18+F18+G18+H18+I18+J18+K18</f>
        <v>78</v>
      </c>
    </row>
    <row r="19" spans="1:12" s="12" customFormat="1" x14ac:dyDescent="0.25">
      <c r="A19" s="16" t="s">
        <v>63</v>
      </c>
      <c r="B19" s="1">
        <v>0</v>
      </c>
      <c r="C19" s="1">
        <v>3</v>
      </c>
      <c r="D19" s="1">
        <v>0</v>
      </c>
      <c r="E19" s="1">
        <v>3</v>
      </c>
      <c r="F19" s="1">
        <v>6</v>
      </c>
      <c r="G19" s="1">
        <v>7</v>
      </c>
      <c r="H19" s="1">
        <v>4</v>
      </c>
      <c r="I19" s="1">
        <v>2</v>
      </c>
      <c r="J19" s="1">
        <v>2</v>
      </c>
      <c r="K19" s="17">
        <v>0</v>
      </c>
      <c r="L19" s="17">
        <f>B19+C19+D19+E19+F19+G19+H19+I19+J19+K19</f>
        <v>27</v>
      </c>
    </row>
    <row r="20" spans="1:12" s="12" customFormat="1" x14ac:dyDescent="0.25">
      <c r="A20" s="18" t="s">
        <v>4</v>
      </c>
      <c r="B20" s="19">
        <f t="shared" ref="B20:K20" si="0">SUM(B8:B19)</f>
        <v>71</v>
      </c>
      <c r="C20" s="19">
        <f t="shared" si="0"/>
        <v>200</v>
      </c>
      <c r="D20" s="19">
        <f t="shared" si="0"/>
        <v>101</v>
      </c>
      <c r="E20" s="19">
        <f t="shared" si="0"/>
        <v>178</v>
      </c>
      <c r="F20" s="19">
        <f t="shared" si="0"/>
        <v>167</v>
      </c>
      <c r="G20" s="19">
        <f t="shared" si="0"/>
        <v>127</v>
      </c>
      <c r="H20" s="19">
        <f t="shared" si="0"/>
        <v>43</v>
      </c>
      <c r="I20" s="19">
        <f t="shared" si="0"/>
        <v>107</v>
      </c>
      <c r="J20" s="19">
        <f t="shared" si="0"/>
        <v>87</v>
      </c>
      <c r="K20" s="14">
        <f t="shared" si="0"/>
        <v>87</v>
      </c>
      <c r="L20" s="14">
        <f t="shared" ref="L20" si="1">SUM(L8:L19)</f>
        <v>1168</v>
      </c>
    </row>
    <row r="21" spans="1:12" s="12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</row>
    <row r="22" spans="1:12" s="12" customFormat="1" x14ac:dyDescent="0.25"/>
    <row r="23" spans="1:12" s="12" customFormat="1" ht="15.75" x14ac:dyDescent="0.25">
      <c r="A23" s="20" t="s">
        <v>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s="12" customFormat="1" x14ac:dyDescent="0.25">
      <c r="A24" s="21" t="s">
        <v>10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2" customFormat="1" x14ac:dyDescent="0.25">
      <c r="A25" s="22" t="s">
        <v>85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s="12" customFormat="1" x14ac:dyDescent="0.25">
      <c r="A26" s="9" t="s">
        <v>1</v>
      </c>
      <c r="B26" s="13" t="s">
        <v>2</v>
      </c>
      <c r="C26" s="13"/>
      <c r="D26" s="13"/>
      <c r="E26" s="13"/>
      <c r="F26" s="13" t="s">
        <v>3</v>
      </c>
      <c r="G26" s="13"/>
      <c r="H26" s="13"/>
      <c r="I26" s="13"/>
      <c r="J26" s="13"/>
      <c r="K26" s="13"/>
      <c r="L26" s="9" t="s">
        <v>4</v>
      </c>
    </row>
    <row r="27" spans="1:12" s="12" customFormat="1" x14ac:dyDescent="0.25">
      <c r="A27" s="9"/>
      <c r="B27" s="15" t="s">
        <v>5</v>
      </c>
      <c r="C27" s="15" t="s">
        <v>6</v>
      </c>
      <c r="D27" s="15" t="s">
        <v>7</v>
      </c>
      <c r="E27" s="15" t="s">
        <v>8</v>
      </c>
      <c r="F27" s="15" t="s">
        <v>75</v>
      </c>
      <c r="G27" s="15" t="s">
        <v>76</v>
      </c>
      <c r="H27" s="15" t="s">
        <v>88</v>
      </c>
      <c r="I27" s="15" t="s">
        <v>77</v>
      </c>
      <c r="J27" s="15" t="s">
        <v>78</v>
      </c>
      <c r="K27" s="14" t="s">
        <v>84</v>
      </c>
      <c r="L27" s="9"/>
    </row>
    <row r="28" spans="1:12" s="12" customFormat="1" x14ac:dyDescent="0.25">
      <c r="A28" s="9"/>
      <c r="B28" s="14" t="s">
        <v>9</v>
      </c>
      <c r="C28" s="14" t="s">
        <v>9</v>
      </c>
      <c r="D28" s="14" t="s">
        <v>9</v>
      </c>
      <c r="E28" s="14" t="s">
        <v>9</v>
      </c>
      <c r="F28" s="14" t="s">
        <v>9</v>
      </c>
      <c r="G28" s="14" t="s">
        <v>9</v>
      </c>
      <c r="H28" s="14" t="s">
        <v>9</v>
      </c>
      <c r="I28" s="14" t="s">
        <v>9</v>
      </c>
      <c r="J28" s="14" t="s">
        <v>9</v>
      </c>
      <c r="K28" s="14" t="s">
        <v>9</v>
      </c>
      <c r="L28" s="14" t="s">
        <v>9</v>
      </c>
    </row>
    <row r="29" spans="1:12" s="12" customFormat="1" x14ac:dyDescent="0.25">
      <c r="A29" s="16" t="s">
        <v>80</v>
      </c>
      <c r="B29" s="4">
        <f>74+46</f>
        <v>120</v>
      </c>
      <c r="C29" s="4">
        <f>398+330</f>
        <v>728</v>
      </c>
      <c r="D29" s="4">
        <v>28</v>
      </c>
      <c r="E29" s="4">
        <f>97+307</f>
        <v>404</v>
      </c>
      <c r="F29" s="4">
        <f>607+578</f>
        <v>1185</v>
      </c>
      <c r="G29" s="4">
        <f>147+114</f>
        <v>261</v>
      </c>
      <c r="H29" s="4">
        <v>0</v>
      </c>
      <c r="I29" s="4">
        <f>13+25</f>
        <v>38</v>
      </c>
      <c r="J29" s="4">
        <f>128+225</f>
        <v>353</v>
      </c>
      <c r="K29" s="17">
        <f>169+114</f>
        <v>283</v>
      </c>
      <c r="L29" s="17">
        <f>B29+C29+D29+E29+F29+G29+H29+I29+J29+K29</f>
        <v>3400</v>
      </c>
    </row>
    <row r="30" spans="1:12" s="12" customFormat="1" x14ac:dyDescent="0.25">
      <c r="A30" s="16" t="s">
        <v>66</v>
      </c>
      <c r="B30" s="4">
        <f>98+14</f>
        <v>112</v>
      </c>
      <c r="C30" s="4">
        <f>393+312</f>
        <v>705</v>
      </c>
      <c r="D30" s="4">
        <f>106+163</f>
        <v>269</v>
      </c>
      <c r="E30" s="4">
        <f>92+357</f>
        <v>449</v>
      </c>
      <c r="F30" s="4">
        <f>577+448</f>
        <v>1025</v>
      </c>
      <c r="G30" s="4">
        <f>372+365</f>
        <v>737</v>
      </c>
      <c r="H30" s="4">
        <v>0</v>
      </c>
      <c r="I30" s="4">
        <f>85+50</f>
        <v>135</v>
      </c>
      <c r="J30" s="4">
        <f>415+616</f>
        <v>1031</v>
      </c>
      <c r="K30" s="17">
        <f>164+99</f>
        <v>263</v>
      </c>
      <c r="L30" s="17">
        <f>B30+C30+D30+E30+F30+G30+H30+I30+J30+K30</f>
        <v>4726</v>
      </c>
    </row>
    <row r="31" spans="1:12" s="12" customFormat="1" x14ac:dyDescent="0.25">
      <c r="A31" s="16" t="s">
        <v>67</v>
      </c>
      <c r="B31" s="4">
        <f>174+249</f>
        <v>423</v>
      </c>
      <c r="C31" s="4">
        <f>425+301</f>
        <v>726</v>
      </c>
      <c r="D31" s="4">
        <f>89+85</f>
        <v>174</v>
      </c>
      <c r="E31" s="4">
        <f>203+295</f>
        <v>498</v>
      </c>
      <c r="F31" s="4">
        <f>9330+2734</f>
        <v>12064</v>
      </c>
      <c r="G31" s="4">
        <f>625+486</f>
        <v>1111</v>
      </c>
      <c r="H31" s="4">
        <v>0</v>
      </c>
      <c r="I31" s="4">
        <f>115+242</f>
        <v>357</v>
      </c>
      <c r="J31" s="4">
        <f>985+2999</f>
        <v>3984</v>
      </c>
      <c r="K31" s="17">
        <f>317+356</f>
        <v>673</v>
      </c>
      <c r="L31" s="17">
        <f>B31+C31+D31+E31+F31+G31+H31+I31+J31+K31</f>
        <v>20010</v>
      </c>
    </row>
    <row r="32" spans="1:12" s="12" customFormat="1" x14ac:dyDescent="0.25">
      <c r="A32" s="16" t="s">
        <v>68</v>
      </c>
      <c r="B32" s="1">
        <f>209+103</f>
        <v>312</v>
      </c>
      <c r="C32" s="1">
        <f>836+727</f>
        <v>1563</v>
      </c>
      <c r="D32" s="1">
        <f>79+83</f>
        <v>162</v>
      </c>
      <c r="E32" s="1">
        <f>176+338</f>
        <v>514</v>
      </c>
      <c r="F32" s="1">
        <f>648+399</f>
        <v>1047</v>
      </c>
      <c r="G32" s="1">
        <f>484+567</f>
        <v>1051</v>
      </c>
      <c r="H32" s="1">
        <v>0</v>
      </c>
      <c r="I32" s="1">
        <f>120+308</f>
        <v>428</v>
      </c>
      <c r="J32" s="1">
        <f>515+768</f>
        <v>1283</v>
      </c>
      <c r="K32" s="17">
        <f>344+276</f>
        <v>620</v>
      </c>
      <c r="L32" s="17">
        <f>B32+C32+D32+E32+F32+G32+H32+I32+J32+K32</f>
        <v>6980</v>
      </c>
    </row>
    <row r="33" spans="1:12" s="12" customFormat="1" x14ac:dyDescent="0.25">
      <c r="A33" s="16" t="s">
        <v>69</v>
      </c>
      <c r="B33" s="1">
        <f>176+46</f>
        <v>222</v>
      </c>
      <c r="C33" s="1">
        <f>241+320</f>
        <v>561</v>
      </c>
      <c r="D33" s="1">
        <f>93+143</f>
        <v>236</v>
      </c>
      <c r="E33" s="1">
        <f>95+476</f>
        <v>571</v>
      </c>
      <c r="F33" s="1">
        <f>222+219</f>
        <v>441</v>
      </c>
      <c r="G33" s="1">
        <f>257+220</f>
        <v>477</v>
      </c>
      <c r="H33" s="1">
        <v>0</v>
      </c>
      <c r="I33" s="1">
        <f>192+268</f>
        <v>460</v>
      </c>
      <c r="J33" s="1">
        <f>175+177</f>
        <v>352</v>
      </c>
      <c r="K33" s="17">
        <f>193+129</f>
        <v>322</v>
      </c>
      <c r="L33" s="17">
        <f>B33+C33+D33+E33+F33+G33+H33+I33+J33+K33</f>
        <v>3642</v>
      </c>
    </row>
    <row r="34" spans="1:12" s="12" customFormat="1" x14ac:dyDescent="0.25">
      <c r="A34" s="16" t="s">
        <v>70</v>
      </c>
      <c r="B34" s="1">
        <f>255+109</f>
        <v>364</v>
      </c>
      <c r="C34" s="1">
        <f>99+84</f>
        <v>183</v>
      </c>
      <c r="D34" s="1">
        <f>71+157</f>
        <v>228</v>
      </c>
      <c r="E34" s="1">
        <f>271+522</f>
        <v>793</v>
      </c>
      <c r="F34" s="1">
        <f>319+271</f>
        <v>590</v>
      </c>
      <c r="G34" s="1">
        <f>50+90</f>
        <v>140</v>
      </c>
      <c r="H34" s="1">
        <v>0</v>
      </c>
      <c r="I34" s="1">
        <f>181+187</f>
        <v>368</v>
      </c>
      <c r="J34" s="1">
        <f>346+636</f>
        <v>982</v>
      </c>
      <c r="K34" s="17">
        <f>162+172</f>
        <v>334</v>
      </c>
      <c r="L34" s="17">
        <f>B34+C34+D34+E34+F34+G34+H34+I34+J34+K34</f>
        <v>3982</v>
      </c>
    </row>
    <row r="35" spans="1:12" s="12" customFormat="1" x14ac:dyDescent="0.25">
      <c r="A35" s="16" t="s">
        <v>71</v>
      </c>
      <c r="B35" s="1">
        <f>131+114</f>
        <v>245</v>
      </c>
      <c r="C35" s="1">
        <f>171+114</f>
        <v>285</v>
      </c>
      <c r="D35" s="1">
        <f>64+164</f>
        <v>228</v>
      </c>
      <c r="E35" s="1">
        <f>385+688</f>
        <v>1073</v>
      </c>
      <c r="F35" s="1">
        <f>57+133</f>
        <v>190</v>
      </c>
      <c r="G35" s="1">
        <f>126+134</f>
        <v>260</v>
      </c>
      <c r="H35" s="1">
        <v>0</v>
      </c>
      <c r="I35" s="1">
        <f>250+257</f>
        <v>507</v>
      </c>
      <c r="J35" s="1">
        <f>28+186</f>
        <v>214</v>
      </c>
      <c r="K35" s="17">
        <f>40+54</f>
        <v>94</v>
      </c>
      <c r="L35" s="17">
        <f>B35+C35+D35+E35+F35+G35+H35+I35+J35+K35</f>
        <v>3096</v>
      </c>
    </row>
    <row r="36" spans="1:12" s="12" customFormat="1" x14ac:dyDescent="0.25">
      <c r="A36" s="16" t="s">
        <v>72</v>
      </c>
      <c r="B36" s="1">
        <f>83+30</f>
        <v>113</v>
      </c>
      <c r="C36" s="1">
        <f>105+57</f>
        <v>162</v>
      </c>
      <c r="D36" s="1">
        <f>192+324</f>
        <v>516</v>
      </c>
      <c r="E36" s="1">
        <f>470+778</f>
        <v>1248</v>
      </c>
      <c r="F36" s="1">
        <f>10+113</f>
        <v>123</v>
      </c>
      <c r="G36" s="1">
        <f>8+20</f>
        <v>28</v>
      </c>
      <c r="H36" s="1">
        <v>0</v>
      </c>
      <c r="I36" s="1">
        <f>84+260</f>
        <v>344</v>
      </c>
      <c r="J36" s="1">
        <f>51+153</f>
        <v>204</v>
      </c>
      <c r="K36" s="17">
        <f>123+116</f>
        <v>239</v>
      </c>
      <c r="L36" s="17">
        <f>B36+C36+D36+E36+F36+G36+H36+I36+J36+K36</f>
        <v>2977</v>
      </c>
    </row>
    <row r="37" spans="1:12" s="12" customFormat="1" x14ac:dyDescent="0.25">
      <c r="A37" s="16" t="s">
        <v>73</v>
      </c>
      <c r="B37" s="1">
        <f>35+107</f>
        <v>142</v>
      </c>
      <c r="C37" s="1">
        <f>224+250</f>
        <v>474</v>
      </c>
      <c r="D37" s="1">
        <f>169+126</f>
        <v>295</v>
      </c>
      <c r="E37" s="1">
        <f>28+246</f>
        <v>274</v>
      </c>
      <c r="F37" s="1">
        <f>5108+4308</f>
        <v>9416</v>
      </c>
      <c r="G37" s="1">
        <f>79+113</f>
        <v>192</v>
      </c>
      <c r="H37" s="1">
        <f>415+668</f>
        <v>1083</v>
      </c>
      <c r="I37" s="1">
        <f>272+182</f>
        <v>454</v>
      </c>
      <c r="J37" s="1">
        <f>37+122</f>
        <v>159</v>
      </c>
      <c r="K37" s="17">
        <f>154+91</f>
        <v>245</v>
      </c>
      <c r="L37" s="17">
        <f>B37+C37+D37+E37+F37+G37+H37+I37+J37+K37</f>
        <v>12734</v>
      </c>
    </row>
    <row r="38" spans="1:12" s="12" customFormat="1" x14ac:dyDescent="0.25">
      <c r="A38" s="16" t="s">
        <v>79</v>
      </c>
      <c r="B38" s="1">
        <f>122+20</f>
        <v>142</v>
      </c>
      <c r="C38" s="1">
        <f>375+325</f>
        <v>700</v>
      </c>
      <c r="D38" s="1">
        <f>70+244</f>
        <v>314</v>
      </c>
      <c r="E38" s="1">
        <f>2633+2669</f>
        <v>5302</v>
      </c>
      <c r="F38" s="1">
        <f>676+511</f>
        <v>1187</v>
      </c>
      <c r="G38" s="1">
        <v>50</v>
      </c>
      <c r="H38" s="1">
        <f>93+68</f>
        <v>161</v>
      </c>
      <c r="I38" s="1">
        <f>544+963</f>
        <v>1507</v>
      </c>
      <c r="J38" s="1">
        <f>258+397</f>
        <v>655</v>
      </c>
      <c r="K38" s="17">
        <v>0</v>
      </c>
      <c r="L38" s="17">
        <f>B38+C38+D38+E38+F38+G38+H38+I38+J38+K38</f>
        <v>10018</v>
      </c>
    </row>
    <row r="39" spans="1:12" s="12" customFormat="1" x14ac:dyDescent="0.25">
      <c r="A39" s="16" t="s">
        <v>62</v>
      </c>
      <c r="B39" s="1">
        <v>0</v>
      </c>
      <c r="C39" s="1">
        <f>1901+1333</f>
        <v>3234</v>
      </c>
      <c r="D39" s="1">
        <f>62+139</f>
        <v>201</v>
      </c>
      <c r="E39" s="1">
        <f>118+201</f>
        <v>319</v>
      </c>
      <c r="F39" s="1">
        <f>1808+1800</f>
        <v>3608</v>
      </c>
      <c r="G39" s="1">
        <f>79+69</f>
        <v>148</v>
      </c>
      <c r="H39" s="1">
        <f>141+95</f>
        <v>236</v>
      </c>
      <c r="I39" s="1">
        <f>748+358</f>
        <v>1106</v>
      </c>
      <c r="J39" s="1">
        <f>59+26</f>
        <v>85</v>
      </c>
      <c r="K39" s="17">
        <v>0</v>
      </c>
      <c r="L39" s="17">
        <f>B39+C39+D39+E39+F39+G39+H39+I39+J39+K39</f>
        <v>8937</v>
      </c>
    </row>
    <row r="40" spans="1:12" s="12" customFormat="1" x14ac:dyDescent="0.25">
      <c r="A40" s="16" t="s">
        <v>63</v>
      </c>
      <c r="B40" s="1">
        <v>0</v>
      </c>
      <c r="C40" s="1">
        <f>61+69</f>
        <v>130</v>
      </c>
      <c r="D40" s="1">
        <v>0</v>
      </c>
      <c r="E40" s="1">
        <f>45+78</f>
        <v>123</v>
      </c>
      <c r="F40" s="1">
        <f>1618+1082</f>
        <v>2700</v>
      </c>
      <c r="G40" s="1">
        <f>106+117</f>
        <v>223</v>
      </c>
      <c r="H40" s="1">
        <f>74+79</f>
        <v>153</v>
      </c>
      <c r="I40" s="1">
        <f>133+87</f>
        <v>220</v>
      </c>
      <c r="J40" s="1">
        <f>20+63</f>
        <v>83</v>
      </c>
      <c r="K40" s="17">
        <v>0</v>
      </c>
      <c r="L40" s="17">
        <f>B40+C40+D40+E40+F40+G40+H40+I40+J40+K40</f>
        <v>3632</v>
      </c>
    </row>
    <row r="41" spans="1:12" s="12" customFormat="1" x14ac:dyDescent="0.25">
      <c r="A41" s="18" t="s">
        <v>4</v>
      </c>
      <c r="B41" s="19">
        <f t="shared" ref="B41:K41" si="2">SUM(B29:B40)</f>
        <v>2195</v>
      </c>
      <c r="C41" s="19">
        <f t="shared" si="2"/>
        <v>9451</v>
      </c>
      <c r="D41" s="19">
        <f t="shared" si="2"/>
        <v>2651</v>
      </c>
      <c r="E41" s="19">
        <f t="shared" si="2"/>
        <v>11568</v>
      </c>
      <c r="F41" s="19">
        <f t="shared" si="2"/>
        <v>33576</v>
      </c>
      <c r="G41" s="19">
        <f t="shared" si="2"/>
        <v>4678</v>
      </c>
      <c r="H41" s="19">
        <f t="shared" si="2"/>
        <v>1633</v>
      </c>
      <c r="I41" s="19">
        <f t="shared" si="2"/>
        <v>5924</v>
      </c>
      <c r="J41" s="19">
        <f t="shared" si="2"/>
        <v>9385</v>
      </c>
      <c r="K41" s="14">
        <f t="shared" si="2"/>
        <v>3073</v>
      </c>
      <c r="L41" s="14">
        <f t="shared" ref="L41" si="3">SUM(L29:L40)</f>
        <v>84134</v>
      </c>
    </row>
    <row r="42" spans="1:12" s="12" customFormat="1" x14ac:dyDescent="0.25">
      <c r="A42" s="2"/>
      <c r="B42" s="3"/>
      <c r="C42" s="5"/>
      <c r="D42" s="3"/>
      <c r="E42" s="5"/>
      <c r="F42" s="5"/>
      <c r="G42" s="5"/>
      <c r="H42" s="3"/>
      <c r="I42" s="3"/>
      <c r="J42" s="5"/>
    </row>
    <row r="43" spans="1:12" s="23" customFormat="1" x14ac:dyDescent="0.25"/>
    <row r="44" spans="1:12" s="12" customFormat="1" ht="15.75" x14ac:dyDescent="0.25">
      <c r="A44" s="24" t="s">
        <v>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s="12" customFormat="1" x14ac:dyDescent="0.25">
      <c r="A45" s="25" t="s">
        <v>11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s="12" customFormat="1" x14ac:dyDescent="0.25">
      <c r="A46" s="22" t="s">
        <v>85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s="12" customFormat="1" x14ac:dyDescent="0.25">
      <c r="A47" s="9" t="s">
        <v>86</v>
      </c>
      <c r="B47" s="13" t="s">
        <v>2</v>
      </c>
      <c r="C47" s="13"/>
      <c r="D47" s="13"/>
      <c r="E47" s="13"/>
      <c r="F47" s="13" t="s">
        <v>3</v>
      </c>
      <c r="G47" s="13"/>
      <c r="H47" s="13"/>
      <c r="I47" s="13"/>
      <c r="J47" s="13"/>
      <c r="K47" s="13"/>
      <c r="L47" s="9" t="s">
        <v>4</v>
      </c>
    </row>
    <row r="48" spans="1:12" s="12" customFormat="1" x14ac:dyDescent="0.25">
      <c r="A48" s="9"/>
      <c r="B48" s="15" t="s">
        <v>5</v>
      </c>
      <c r="C48" s="15" t="s">
        <v>6</v>
      </c>
      <c r="D48" s="15" t="s">
        <v>7</v>
      </c>
      <c r="E48" s="15" t="s">
        <v>8</v>
      </c>
      <c r="F48" s="15" t="s">
        <v>75</v>
      </c>
      <c r="G48" s="15" t="s">
        <v>76</v>
      </c>
      <c r="H48" s="15" t="s">
        <v>88</v>
      </c>
      <c r="I48" s="15" t="s">
        <v>77</v>
      </c>
      <c r="J48" s="15" t="s">
        <v>78</v>
      </c>
      <c r="K48" s="14" t="s">
        <v>84</v>
      </c>
      <c r="L48" s="9"/>
    </row>
    <row r="49" spans="1:12" s="12" customFormat="1" x14ac:dyDescent="0.25">
      <c r="A49" s="9"/>
      <c r="B49" s="14" t="s">
        <v>9</v>
      </c>
      <c r="C49" s="14" t="s">
        <v>9</v>
      </c>
      <c r="D49" s="14" t="s">
        <v>9</v>
      </c>
      <c r="E49" s="14" t="s">
        <v>9</v>
      </c>
      <c r="F49" s="14" t="s">
        <v>9</v>
      </c>
      <c r="G49" s="14" t="s">
        <v>9</v>
      </c>
      <c r="H49" s="14" t="s">
        <v>9</v>
      </c>
      <c r="I49" s="14" t="s">
        <v>9</v>
      </c>
      <c r="J49" s="14" t="s">
        <v>9</v>
      </c>
      <c r="K49" s="14" t="s">
        <v>9</v>
      </c>
      <c r="L49" s="14" t="s">
        <v>9</v>
      </c>
    </row>
    <row r="50" spans="1:12" s="12" customFormat="1" x14ac:dyDescent="0.25">
      <c r="A50" s="26" t="s">
        <v>12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27">
        <v>0</v>
      </c>
      <c r="K50" s="17">
        <v>0</v>
      </c>
      <c r="L50" s="17">
        <f>B50+C50+D50+E50+F50+G50+H50+I50+J50+K50</f>
        <v>0</v>
      </c>
    </row>
    <row r="51" spans="1:12" s="12" customFormat="1" x14ac:dyDescent="0.25">
      <c r="A51" s="26" t="s">
        <v>59</v>
      </c>
      <c r="B51" s="6">
        <v>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27">
        <v>0</v>
      </c>
      <c r="K51" s="17">
        <v>0</v>
      </c>
      <c r="L51" s="17">
        <f>B51+C51+D51+E51+F51+G51+H51+I51+J51+K51</f>
        <v>2</v>
      </c>
    </row>
    <row r="52" spans="1:12" s="12" customFormat="1" x14ac:dyDescent="0.25">
      <c r="A52" s="26" t="s">
        <v>13</v>
      </c>
      <c r="B52" s="6">
        <v>50</v>
      </c>
      <c r="C52" s="6">
        <v>134</v>
      </c>
      <c r="D52" s="6">
        <v>81</v>
      </c>
      <c r="E52" s="6">
        <v>97</v>
      </c>
      <c r="F52" s="6">
        <v>122</v>
      </c>
      <c r="G52" s="6">
        <v>79</v>
      </c>
      <c r="H52" s="6">
        <v>41</v>
      </c>
      <c r="I52" s="6">
        <v>59</v>
      </c>
      <c r="J52" s="27">
        <v>67</v>
      </c>
      <c r="K52" s="17">
        <v>81</v>
      </c>
      <c r="L52" s="17">
        <f>B52+C52+D52+E52+F52+G52+H52+I52+J52+K52</f>
        <v>811</v>
      </c>
    </row>
    <row r="53" spans="1:12" s="12" customFormat="1" x14ac:dyDescent="0.25">
      <c r="A53" s="26" t="s">
        <v>14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27">
        <v>0</v>
      </c>
      <c r="K53" s="17">
        <v>0</v>
      </c>
      <c r="L53" s="17">
        <f>B53+C53+D53+E53+F53+G53+H53+I53+J53+K53</f>
        <v>0</v>
      </c>
    </row>
    <row r="54" spans="1:12" s="12" customFormat="1" x14ac:dyDescent="0.25">
      <c r="A54" s="26" t="s">
        <v>15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27">
        <v>0</v>
      </c>
      <c r="K54" s="17">
        <v>0</v>
      </c>
      <c r="L54" s="17">
        <f>B54+C54+D54+E54+F54+G54+H54+I54+J54+K54</f>
        <v>0</v>
      </c>
    </row>
    <row r="55" spans="1:12" s="12" customFormat="1" x14ac:dyDescent="0.25">
      <c r="A55" s="26" t="s">
        <v>16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27">
        <v>0</v>
      </c>
      <c r="K55" s="17">
        <v>0</v>
      </c>
      <c r="L55" s="17">
        <f>B55+C55+D55+E55+F55+G55+H55+I55+J55+K55</f>
        <v>0</v>
      </c>
    </row>
    <row r="56" spans="1:12" s="12" customFormat="1" x14ac:dyDescent="0.25">
      <c r="A56" s="26" t="s">
        <v>17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27">
        <v>0</v>
      </c>
      <c r="K56" s="17">
        <v>0</v>
      </c>
      <c r="L56" s="17">
        <f>B56+C56+D56+E56+F56+G56+H56+I56+J56+K56</f>
        <v>0</v>
      </c>
    </row>
    <row r="57" spans="1:12" s="12" customFormat="1" x14ac:dyDescent="0.25">
      <c r="A57" s="26" t="s">
        <v>58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27">
        <v>0</v>
      </c>
      <c r="K57" s="17">
        <v>0</v>
      </c>
      <c r="L57" s="17">
        <f>B57+C57+D57+E57+F57+G57+H57+I57+J57+K57</f>
        <v>0</v>
      </c>
    </row>
    <row r="58" spans="1:12" s="12" customFormat="1" x14ac:dyDescent="0.25">
      <c r="A58" s="26" t="s">
        <v>18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27">
        <v>0</v>
      </c>
      <c r="K58" s="17">
        <v>0</v>
      </c>
      <c r="L58" s="17">
        <f>B58+C58+D58+E58+F58+G58+H58+I58+J58+K58</f>
        <v>0</v>
      </c>
    </row>
    <row r="59" spans="1:12" s="12" customFormat="1" x14ac:dyDescent="0.25">
      <c r="A59" s="26" t="s">
        <v>19</v>
      </c>
      <c r="B59" s="6">
        <v>6</v>
      </c>
      <c r="C59" s="6">
        <v>3</v>
      </c>
      <c r="D59" s="6">
        <v>2</v>
      </c>
      <c r="E59" s="6">
        <v>2</v>
      </c>
      <c r="F59" s="6">
        <v>1</v>
      </c>
      <c r="G59" s="6">
        <v>4</v>
      </c>
      <c r="H59" s="6">
        <v>0</v>
      </c>
      <c r="I59" s="6">
        <v>1</v>
      </c>
      <c r="J59" s="27">
        <v>0</v>
      </c>
      <c r="K59" s="17">
        <v>0</v>
      </c>
      <c r="L59" s="17">
        <f>B59+C59+D59+E59+F59+G59+H59+I59+J59+K59</f>
        <v>19</v>
      </c>
    </row>
    <row r="60" spans="1:12" s="12" customFormat="1" x14ac:dyDescent="0.25">
      <c r="A60" s="26" t="s">
        <v>20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2</v>
      </c>
      <c r="J60" s="27">
        <v>0</v>
      </c>
      <c r="K60" s="17">
        <v>0</v>
      </c>
      <c r="L60" s="17">
        <f>B60+C60+D60+E60+F60+G60+H60+I60+J60+K60</f>
        <v>2</v>
      </c>
    </row>
    <row r="61" spans="1:12" s="12" customFormat="1" x14ac:dyDescent="0.25">
      <c r="A61" s="26" t="s">
        <v>21</v>
      </c>
      <c r="B61" s="6">
        <v>0</v>
      </c>
      <c r="C61" s="6">
        <v>0</v>
      </c>
      <c r="D61" s="6">
        <v>0</v>
      </c>
      <c r="E61" s="6">
        <v>36</v>
      </c>
      <c r="F61" s="6">
        <v>0</v>
      </c>
      <c r="G61" s="6">
        <v>0</v>
      </c>
      <c r="H61" s="6">
        <v>1</v>
      </c>
      <c r="I61" s="6">
        <v>13</v>
      </c>
      <c r="J61" s="27">
        <v>0</v>
      </c>
      <c r="K61" s="17">
        <v>0</v>
      </c>
      <c r="L61" s="17">
        <f>B61+C61+D61+E61+F61+G61+H61+I61+J61+K61</f>
        <v>50</v>
      </c>
    </row>
    <row r="62" spans="1:12" s="12" customFormat="1" x14ac:dyDescent="0.25">
      <c r="A62" s="26" t="s">
        <v>22</v>
      </c>
      <c r="B62" s="6">
        <v>0</v>
      </c>
      <c r="C62" s="6">
        <v>0</v>
      </c>
      <c r="D62" s="6">
        <v>0</v>
      </c>
      <c r="E62" s="6">
        <v>4</v>
      </c>
      <c r="F62" s="6">
        <v>1</v>
      </c>
      <c r="G62" s="6">
        <v>0</v>
      </c>
      <c r="H62" s="6">
        <v>0</v>
      </c>
      <c r="I62" s="6">
        <v>0</v>
      </c>
      <c r="J62" s="27">
        <v>0</v>
      </c>
      <c r="K62" s="17">
        <v>0</v>
      </c>
      <c r="L62" s="17">
        <f>B62+C62+D62+E62+F62+G62+H62+I62+J62+K62</f>
        <v>5</v>
      </c>
    </row>
    <row r="63" spans="1:12" s="12" customFormat="1" x14ac:dyDescent="0.25">
      <c r="A63" s="26" t="s">
        <v>23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27">
        <v>0</v>
      </c>
      <c r="K63" s="17">
        <v>0</v>
      </c>
      <c r="L63" s="17">
        <f>B63+C63+D63+E63+F63+G63+H63+I63+J63+K63</f>
        <v>0</v>
      </c>
    </row>
    <row r="64" spans="1:12" s="12" customFormat="1" x14ac:dyDescent="0.25">
      <c r="A64" s="26" t="s">
        <v>24</v>
      </c>
      <c r="B64" s="6">
        <v>0</v>
      </c>
      <c r="C64" s="6">
        <v>34</v>
      </c>
      <c r="D64" s="6">
        <v>4</v>
      </c>
      <c r="E64" s="6">
        <v>0</v>
      </c>
      <c r="F64" s="6">
        <v>34</v>
      </c>
      <c r="G64" s="6">
        <v>20</v>
      </c>
      <c r="H64" s="6">
        <v>1</v>
      </c>
      <c r="I64" s="6">
        <v>12</v>
      </c>
      <c r="J64" s="27">
        <v>0</v>
      </c>
      <c r="K64" s="17">
        <v>0</v>
      </c>
      <c r="L64" s="17">
        <f>B64+C64+D64+E64+F64+G64+H64+I64+J64+K64</f>
        <v>105</v>
      </c>
    </row>
    <row r="65" spans="1:12" s="12" customFormat="1" x14ac:dyDescent="0.25">
      <c r="A65" s="26" t="s">
        <v>64</v>
      </c>
      <c r="B65" s="6">
        <v>0</v>
      </c>
      <c r="C65" s="6">
        <v>0</v>
      </c>
      <c r="D65" s="6">
        <v>4</v>
      </c>
      <c r="E65" s="6">
        <v>0</v>
      </c>
      <c r="F65" s="6">
        <v>2</v>
      </c>
      <c r="G65" s="6">
        <v>0</v>
      </c>
      <c r="H65" s="6">
        <v>0</v>
      </c>
      <c r="I65" s="6">
        <v>0</v>
      </c>
      <c r="J65" s="27">
        <v>5</v>
      </c>
      <c r="K65" s="17">
        <v>6</v>
      </c>
      <c r="L65" s="17">
        <f>B65+C65+D65+E65+F65+G65+H65+I65+J65+K65</f>
        <v>17</v>
      </c>
    </row>
    <row r="66" spans="1:12" s="12" customFormat="1" x14ac:dyDescent="0.25">
      <c r="A66" s="26" t="s">
        <v>65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27">
        <v>0</v>
      </c>
      <c r="K66" s="17">
        <v>0</v>
      </c>
      <c r="L66" s="17">
        <f>B66+C66+D66+E66+F66+G66+H66+I66+J66+K66</f>
        <v>0</v>
      </c>
    </row>
    <row r="67" spans="1:12" s="12" customFormat="1" x14ac:dyDescent="0.25">
      <c r="A67" s="26" t="s">
        <v>74</v>
      </c>
      <c r="B67" s="6">
        <v>12</v>
      </c>
      <c r="C67" s="6">
        <v>8</v>
      </c>
      <c r="D67" s="6">
        <v>4</v>
      </c>
      <c r="E67" s="6">
        <v>31</v>
      </c>
      <c r="F67" s="6">
        <v>1</v>
      </c>
      <c r="G67" s="6">
        <v>8</v>
      </c>
      <c r="H67" s="6">
        <v>0</v>
      </c>
      <c r="I67" s="6">
        <v>8</v>
      </c>
      <c r="J67" s="27">
        <v>12</v>
      </c>
      <c r="K67" s="17">
        <v>0</v>
      </c>
      <c r="L67" s="17">
        <f>B67+C67+D67+E67+F67+G67+H67+I67+J67+K67</f>
        <v>84</v>
      </c>
    </row>
    <row r="68" spans="1:12" s="12" customFormat="1" x14ac:dyDescent="0.25">
      <c r="A68" s="26" t="s">
        <v>90</v>
      </c>
      <c r="B68" s="6">
        <v>0</v>
      </c>
      <c r="C68" s="6">
        <v>12</v>
      </c>
      <c r="D68" s="6">
        <v>0</v>
      </c>
      <c r="E68" s="6">
        <v>0</v>
      </c>
      <c r="F68" s="6">
        <v>0</v>
      </c>
      <c r="G68" s="6">
        <v>7</v>
      </c>
      <c r="H68" s="6">
        <v>0</v>
      </c>
      <c r="I68" s="6">
        <v>0</v>
      </c>
      <c r="J68" s="27">
        <v>0</v>
      </c>
      <c r="K68" s="17">
        <v>0</v>
      </c>
      <c r="L68" s="17">
        <f>B68+C68+D68+E68+F68+G68+H68+I68+J68+K68</f>
        <v>19</v>
      </c>
    </row>
    <row r="69" spans="1:12" s="12" customFormat="1" x14ac:dyDescent="0.25">
      <c r="A69" s="26" t="s">
        <v>83</v>
      </c>
      <c r="B69" s="6">
        <v>0</v>
      </c>
      <c r="C69" s="6">
        <v>0</v>
      </c>
      <c r="D69" s="6">
        <v>0</v>
      </c>
      <c r="E69" s="6">
        <v>0</v>
      </c>
      <c r="F69" s="6">
        <v>6</v>
      </c>
      <c r="G69" s="6">
        <v>1</v>
      </c>
      <c r="H69" s="6">
        <v>0</v>
      </c>
      <c r="I69" s="6">
        <v>3</v>
      </c>
      <c r="J69" s="27">
        <v>0</v>
      </c>
      <c r="K69" s="17">
        <v>0</v>
      </c>
      <c r="L69" s="17">
        <f>B69+C69+D69+E69+F69+G69+H69+I69+J69+K69</f>
        <v>10</v>
      </c>
    </row>
    <row r="70" spans="1:12" s="12" customFormat="1" x14ac:dyDescent="0.25">
      <c r="A70" s="26" t="s">
        <v>82</v>
      </c>
      <c r="B70" s="6">
        <v>1</v>
      </c>
      <c r="C70" s="6">
        <v>9</v>
      </c>
      <c r="D70" s="6">
        <v>6</v>
      </c>
      <c r="E70" s="6">
        <v>8</v>
      </c>
      <c r="F70" s="6">
        <v>0</v>
      </c>
      <c r="G70" s="6">
        <v>8</v>
      </c>
      <c r="H70" s="6">
        <v>0</v>
      </c>
      <c r="I70" s="6">
        <v>9</v>
      </c>
      <c r="J70" s="27">
        <v>3</v>
      </c>
      <c r="K70" s="17">
        <v>0</v>
      </c>
      <c r="L70" s="17">
        <f>B70+C70+D70+E70+F70+G70+H70+I70+J70+K70</f>
        <v>44</v>
      </c>
    </row>
    <row r="71" spans="1:12" s="12" customFormat="1" x14ac:dyDescent="0.25">
      <c r="A71" s="28" t="s">
        <v>4</v>
      </c>
      <c r="B71" s="14">
        <f t="shared" ref="B71:K71" si="4">SUM(B50:B70)</f>
        <v>71</v>
      </c>
      <c r="C71" s="14">
        <f t="shared" si="4"/>
        <v>200</v>
      </c>
      <c r="D71" s="14">
        <f t="shared" si="4"/>
        <v>101</v>
      </c>
      <c r="E71" s="14">
        <f t="shared" si="4"/>
        <v>178</v>
      </c>
      <c r="F71" s="14">
        <f t="shared" si="4"/>
        <v>167</v>
      </c>
      <c r="G71" s="14">
        <f t="shared" si="4"/>
        <v>127</v>
      </c>
      <c r="H71" s="14">
        <f t="shared" si="4"/>
        <v>43</v>
      </c>
      <c r="I71" s="14">
        <f t="shared" si="4"/>
        <v>107</v>
      </c>
      <c r="J71" s="14">
        <f t="shared" si="4"/>
        <v>87</v>
      </c>
      <c r="K71" s="14">
        <f t="shared" si="4"/>
        <v>87</v>
      </c>
      <c r="L71" s="14">
        <f t="shared" ref="L71" si="5">SUM(L50:L70)</f>
        <v>1168</v>
      </c>
    </row>
    <row r="72" spans="1:12" s="12" customFormat="1" x14ac:dyDescent="0.25"/>
    <row r="73" spans="1:12" s="12" customFormat="1" x14ac:dyDescent="0.25"/>
    <row r="74" spans="1:12" s="12" customFormat="1" x14ac:dyDescent="0.25"/>
    <row r="75" spans="1:12" s="12" customFormat="1" ht="15.75" customHeight="1" x14ac:dyDescent="0.25">
      <c r="A75" s="24" t="s">
        <v>0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s="12" customFormat="1" ht="15" customHeight="1" x14ac:dyDescent="0.25">
      <c r="A76" s="29" t="s">
        <v>25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s="12" customFormat="1" ht="15" customHeight="1" x14ac:dyDescent="0.25">
      <c r="A77" s="22" t="s">
        <v>85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s="12" customFormat="1" x14ac:dyDescent="0.25">
      <c r="A78" s="9" t="s">
        <v>87</v>
      </c>
      <c r="B78" s="13" t="s">
        <v>2</v>
      </c>
      <c r="C78" s="13"/>
      <c r="D78" s="13"/>
      <c r="E78" s="13"/>
      <c r="F78" s="13" t="s">
        <v>3</v>
      </c>
      <c r="G78" s="13"/>
      <c r="H78" s="13"/>
      <c r="I78" s="13"/>
      <c r="J78" s="13"/>
      <c r="K78" s="13"/>
      <c r="L78" s="9" t="s">
        <v>4</v>
      </c>
    </row>
    <row r="79" spans="1:12" s="12" customFormat="1" x14ac:dyDescent="0.25">
      <c r="A79" s="9"/>
      <c r="B79" s="15" t="s">
        <v>5</v>
      </c>
      <c r="C79" s="15" t="s">
        <v>6</v>
      </c>
      <c r="D79" s="15" t="s">
        <v>7</v>
      </c>
      <c r="E79" s="15" t="s">
        <v>8</v>
      </c>
      <c r="F79" s="15" t="s">
        <v>75</v>
      </c>
      <c r="G79" s="15" t="s">
        <v>76</v>
      </c>
      <c r="H79" s="15" t="s">
        <v>88</v>
      </c>
      <c r="I79" s="15" t="s">
        <v>77</v>
      </c>
      <c r="J79" s="15" t="s">
        <v>78</v>
      </c>
      <c r="K79" s="14" t="s">
        <v>84</v>
      </c>
      <c r="L79" s="9"/>
    </row>
    <row r="80" spans="1:12" s="12" customFormat="1" x14ac:dyDescent="0.25">
      <c r="A80" s="9"/>
      <c r="B80" s="14" t="s">
        <v>9</v>
      </c>
      <c r="C80" s="14" t="s">
        <v>9</v>
      </c>
      <c r="D80" s="14" t="s">
        <v>9</v>
      </c>
      <c r="E80" s="14" t="s">
        <v>9</v>
      </c>
      <c r="F80" s="14" t="s">
        <v>9</v>
      </c>
      <c r="G80" s="14" t="s">
        <v>9</v>
      </c>
      <c r="H80" s="14" t="s">
        <v>9</v>
      </c>
      <c r="I80" s="14" t="s">
        <v>9</v>
      </c>
      <c r="J80" s="14" t="s">
        <v>9</v>
      </c>
      <c r="K80" s="14" t="s">
        <v>9</v>
      </c>
      <c r="L80" s="14" t="s">
        <v>9</v>
      </c>
    </row>
    <row r="81" spans="1:12" s="12" customFormat="1" x14ac:dyDescent="0.25">
      <c r="A81" s="7" t="s">
        <v>26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30">
        <v>0</v>
      </c>
      <c r="K81" s="17">
        <v>0</v>
      </c>
      <c r="L81" s="17">
        <f>B81+C81+D81+E81+F81+G81+H81+I81+J81+K81</f>
        <v>0</v>
      </c>
    </row>
    <row r="82" spans="1:12" s="12" customFormat="1" x14ac:dyDescent="0.25">
      <c r="A82" s="7" t="s">
        <v>27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40</v>
      </c>
      <c r="H82" s="6">
        <v>0</v>
      </c>
      <c r="I82" s="6">
        <v>0</v>
      </c>
      <c r="J82" s="30">
        <v>0</v>
      </c>
      <c r="K82" s="17">
        <v>0</v>
      </c>
      <c r="L82" s="17">
        <f>B82+C82+D82+E82+F82+G82+H82+I82+J82+K82</f>
        <v>40</v>
      </c>
    </row>
    <row r="83" spans="1:12" s="12" customFormat="1" x14ac:dyDescent="0.25">
      <c r="A83" s="7" t="s">
        <v>28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67</v>
      </c>
      <c r="H83" s="6">
        <v>0</v>
      </c>
      <c r="I83" s="6">
        <v>0</v>
      </c>
      <c r="J83" s="30">
        <v>0</v>
      </c>
      <c r="K83" s="17">
        <v>0</v>
      </c>
      <c r="L83" s="17">
        <f>B83+C83+D83+E83+F83+G83+H83+I83+J83+K83</f>
        <v>67</v>
      </c>
    </row>
    <row r="84" spans="1:12" s="12" customFormat="1" x14ac:dyDescent="0.25">
      <c r="A84" s="7" t="s">
        <v>60</v>
      </c>
      <c r="B84" s="6">
        <f>24+47</f>
        <v>71</v>
      </c>
      <c r="C84" s="6">
        <f>87+95</f>
        <v>182</v>
      </c>
      <c r="D84" s="6">
        <f>59+38</f>
        <v>97</v>
      </c>
      <c r="E84" s="6">
        <f>71+96</f>
        <v>167</v>
      </c>
      <c r="F84" s="6">
        <v>0</v>
      </c>
      <c r="G84" s="6">
        <v>0</v>
      </c>
      <c r="H84" s="6">
        <v>0</v>
      </c>
      <c r="I84" s="6">
        <v>1</v>
      </c>
      <c r="J84" s="30">
        <v>87</v>
      </c>
      <c r="K84" s="17">
        <v>0</v>
      </c>
      <c r="L84" s="17">
        <f>B84+C84+D84+E84+F84+G84+H84+I84+J84+K84</f>
        <v>605</v>
      </c>
    </row>
    <row r="85" spans="1:12" s="12" customFormat="1" x14ac:dyDescent="0.25">
      <c r="A85" s="7" t="s">
        <v>29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30">
        <v>0</v>
      </c>
      <c r="K85" s="17">
        <v>0</v>
      </c>
      <c r="L85" s="17">
        <f>B85+C85+D85+E85+F85+G85+H85+I85+J85+K85</f>
        <v>0</v>
      </c>
    </row>
    <row r="86" spans="1:12" s="12" customFormat="1" x14ac:dyDescent="0.25">
      <c r="A86" s="7" t="s">
        <v>30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30">
        <v>0</v>
      </c>
      <c r="K86" s="17">
        <v>70</v>
      </c>
      <c r="L86" s="17">
        <f>B86+C86+D86+E86+F86+G86+H86+I86+J86+K86</f>
        <v>70</v>
      </c>
    </row>
    <row r="87" spans="1:12" s="12" customFormat="1" x14ac:dyDescent="0.25">
      <c r="A87" s="7" t="s">
        <v>32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9</v>
      </c>
      <c r="J87" s="30">
        <v>0</v>
      </c>
      <c r="K87" s="17">
        <v>0</v>
      </c>
      <c r="L87" s="17">
        <f>B87+C87+D87+E87+F87+G87+H87+I87+J87+K87</f>
        <v>9</v>
      </c>
    </row>
    <row r="88" spans="1:12" s="12" customFormat="1" x14ac:dyDescent="0.25">
      <c r="A88" s="7" t="s">
        <v>31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30">
        <v>0</v>
      </c>
      <c r="K88" s="17">
        <v>0</v>
      </c>
      <c r="L88" s="17">
        <f>B88+C88+D88+E88+F88+G88+H88+I88+J88+K88</f>
        <v>0</v>
      </c>
    </row>
    <row r="89" spans="1:12" s="12" customFormat="1" x14ac:dyDescent="0.25">
      <c r="A89" s="7" t="s">
        <v>33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30">
        <v>0</v>
      </c>
      <c r="K89" s="17">
        <v>0</v>
      </c>
      <c r="L89" s="17">
        <f>B89+C89+D89+E89+F89+G89+H89+I89+J89+K89</f>
        <v>0</v>
      </c>
    </row>
    <row r="90" spans="1:12" s="12" customFormat="1" x14ac:dyDescent="0.25">
      <c r="A90" s="7" t="s">
        <v>55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5</v>
      </c>
      <c r="J90" s="30">
        <v>0</v>
      </c>
      <c r="K90" s="17">
        <v>0</v>
      </c>
      <c r="L90" s="17">
        <f>B90+C90+D90+E90+F90+G90+H90+I90+J90+K90</f>
        <v>5</v>
      </c>
    </row>
    <row r="91" spans="1:12" s="12" customFormat="1" x14ac:dyDescent="0.25">
      <c r="A91" s="7" t="s">
        <v>38</v>
      </c>
      <c r="B91" s="6">
        <v>0</v>
      </c>
      <c r="C91" s="6">
        <v>0</v>
      </c>
      <c r="D91" s="6">
        <v>0</v>
      </c>
      <c r="E91" s="6">
        <v>0</v>
      </c>
      <c r="F91" s="6">
        <v>1</v>
      </c>
      <c r="G91" s="6">
        <v>0</v>
      </c>
      <c r="H91" s="6">
        <v>0</v>
      </c>
      <c r="I91" s="6">
        <v>0</v>
      </c>
      <c r="J91" s="30">
        <v>0</v>
      </c>
      <c r="K91" s="17">
        <v>2</v>
      </c>
      <c r="L91" s="17">
        <f>B91+C91+D91+E91+F91+G91+H91+I91+J91+K91</f>
        <v>3</v>
      </c>
    </row>
    <row r="92" spans="1:12" s="12" customFormat="1" x14ac:dyDescent="0.25">
      <c r="A92" s="7" t="s">
        <v>34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8</v>
      </c>
      <c r="H92" s="6">
        <v>0</v>
      </c>
      <c r="I92" s="6">
        <v>0</v>
      </c>
      <c r="J92" s="30">
        <v>0</v>
      </c>
      <c r="K92" s="17">
        <v>0</v>
      </c>
      <c r="L92" s="17">
        <f>B92+C92+D92+E92+F92+G92+H92+I92+J92+K92</f>
        <v>8</v>
      </c>
    </row>
    <row r="93" spans="1:12" s="12" customFormat="1" x14ac:dyDescent="0.25">
      <c r="A93" s="7" t="s">
        <v>35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11</v>
      </c>
      <c r="J93" s="30">
        <v>0</v>
      </c>
      <c r="K93" s="17">
        <v>0</v>
      </c>
      <c r="L93" s="17">
        <f>B93+C93+D93+E93+F93+G93+H93+I93+J93+K93</f>
        <v>11</v>
      </c>
    </row>
    <row r="94" spans="1:12" s="12" customFormat="1" x14ac:dyDescent="0.25">
      <c r="A94" s="7" t="s">
        <v>36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66</v>
      </c>
      <c r="J94" s="30">
        <v>0</v>
      </c>
      <c r="K94" s="17">
        <v>0</v>
      </c>
      <c r="L94" s="17">
        <f>B94+C94+D94+E94+F94+G94+H94+I94+J94+K94</f>
        <v>66</v>
      </c>
    </row>
    <row r="95" spans="1:12" s="12" customFormat="1" x14ac:dyDescent="0.25">
      <c r="A95" s="7" t="s">
        <v>37</v>
      </c>
      <c r="B95" s="6">
        <v>0</v>
      </c>
      <c r="C95" s="6">
        <v>0</v>
      </c>
      <c r="D95" s="6">
        <v>0</v>
      </c>
      <c r="E95" s="6">
        <v>0</v>
      </c>
      <c r="F95" s="6">
        <v>1</v>
      </c>
      <c r="G95" s="6">
        <v>0</v>
      </c>
      <c r="H95" s="6">
        <v>0</v>
      </c>
      <c r="I95" s="6">
        <v>0</v>
      </c>
      <c r="J95" s="30">
        <v>0</v>
      </c>
      <c r="K95" s="17">
        <v>0</v>
      </c>
      <c r="L95" s="17">
        <f>B95+C95+D95+E95+F95+G95+H95+I95+J95+K95</f>
        <v>1</v>
      </c>
    </row>
    <row r="96" spans="1:12" s="12" customFormat="1" x14ac:dyDescent="0.25">
      <c r="A96" s="7" t="s">
        <v>39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30">
        <v>0</v>
      </c>
      <c r="K96" s="17">
        <v>1</v>
      </c>
      <c r="L96" s="17">
        <f>B96+C96+D96+E96+F96+G96+H96+I96+J96+K96</f>
        <v>1</v>
      </c>
    </row>
    <row r="97" spans="1:12" s="12" customFormat="1" x14ac:dyDescent="0.25">
      <c r="A97" s="7" t="s">
        <v>53</v>
      </c>
      <c r="B97" s="6">
        <v>0</v>
      </c>
      <c r="C97" s="6">
        <v>1</v>
      </c>
      <c r="D97" s="6">
        <v>0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30">
        <v>0</v>
      </c>
      <c r="K97" s="17">
        <v>0</v>
      </c>
      <c r="L97" s="17">
        <f>B97+C97+D97+E97+F97+G97+H97+I97+J97+K97</f>
        <v>2</v>
      </c>
    </row>
    <row r="98" spans="1:12" s="12" customFormat="1" x14ac:dyDescent="0.25">
      <c r="A98" s="7" t="s">
        <v>40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30">
        <v>0</v>
      </c>
      <c r="K98" s="17">
        <v>0</v>
      </c>
      <c r="L98" s="17">
        <f>B98+C98+D98+E98+F98+G98+H98+I98+J98+K98</f>
        <v>0</v>
      </c>
    </row>
    <row r="99" spans="1:12" s="12" customFormat="1" x14ac:dyDescent="0.25">
      <c r="A99" s="7" t="s">
        <v>54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30">
        <v>0</v>
      </c>
      <c r="K99" s="17">
        <v>0</v>
      </c>
      <c r="L99" s="17">
        <f>B99+C99+D99+E99+F99+G99+H99+I99+J99+K99</f>
        <v>0</v>
      </c>
    </row>
    <row r="100" spans="1:12" s="12" customFormat="1" x14ac:dyDescent="0.25">
      <c r="A100" s="7" t="s">
        <v>89</v>
      </c>
      <c r="B100" s="6">
        <v>0</v>
      </c>
      <c r="C100" s="6">
        <v>7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30">
        <v>0</v>
      </c>
      <c r="K100" s="17">
        <v>0</v>
      </c>
      <c r="L100" s="17">
        <f>B100+C100+D100+E100+F100+G100+H100+I100+J100+K100</f>
        <v>7</v>
      </c>
    </row>
    <row r="101" spans="1:12" s="12" customFormat="1" x14ac:dyDescent="0.25">
      <c r="A101" s="7" t="s">
        <v>41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12</v>
      </c>
      <c r="H101" s="6">
        <v>0</v>
      </c>
      <c r="I101" s="6">
        <v>0</v>
      </c>
      <c r="J101" s="30">
        <v>0</v>
      </c>
      <c r="K101" s="17">
        <v>0</v>
      </c>
      <c r="L101" s="17">
        <f>B101+C101+D101+E101+F101+G101+H101+I101+J101+K101</f>
        <v>12</v>
      </c>
    </row>
    <row r="102" spans="1:12" s="12" customFormat="1" x14ac:dyDescent="0.25">
      <c r="A102" s="7" t="s">
        <v>42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3</v>
      </c>
      <c r="J102" s="30">
        <v>0</v>
      </c>
      <c r="K102" s="17">
        <v>0</v>
      </c>
      <c r="L102" s="17">
        <f>B102+C102+D102+E102+F102+G102+H102+I102+J102+K102</f>
        <v>3</v>
      </c>
    </row>
    <row r="103" spans="1:12" s="12" customFormat="1" x14ac:dyDescent="0.25">
      <c r="A103" s="7" t="s">
        <v>43</v>
      </c>
      <c r="B103" s="6">
        <v>0</v>
      </c>
      <c r="C103" s="6">
        <v>0</v>
      </c>
      <c r="D103" s="6">
        <v>0</v>
      </c>
      <c r="E103" s="6">
        <v>0</v>
      </c>
      <c r="F103" s="6">
        <v>6</v>
      </c>
      <c r="G103" s="6">
        <v>0</v>
      </c>
      <c r="H103" s="6">
        <v>0</v>
      </c>
      <c r="I103" s="6">
        <v>0</v>
      </c>
      <c r="J103" s="30">
        <v>0</v>
      </c>
      <c r="K103" s="17">
        <v>0</v>
      </c>
      <c r="L103" s="17">
        <f>B103+C103+D103+E103+F103+G103+H103+I103+J103+K103</f>
        <v>6</v>
      </c>
    </row>
    <row r="104" spans="1:12" s="12" customFormat="1" x14ac:dyDescent="0.25">
      <c r="A104" s="7" t="s">
        <v>44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30">
        <v>0</v>
      </c>
      <c r="K104" s="17">
        <v>0</v>
      </c>
      <c r="L104" s="17">
        <f>B104+C104+D104+E104+F104+G104+H104+I104+J104+K104</f>
        <v>0</v>
      </c>
    </row>
    <row r="105" spans="1:12" s="12" customFormat="1" x14ac:dyDescent="0.25">
      <c r="A105" s="7" t="s">
        <v>45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30">
        <v>0</v>
      </c>
      <c r="K105" s="17">
        <v>14</v>
      </c>
      <c r="L105" s="17">
        <f>B105+C105+D105+E105+F105+G105+H105+I105+J105+K105</f>
        <v>14</v>
      </c>
    </row>
    <row r="106" spans="1:12" s="12" customFormat="1" x14ac:dyDescent="0.25">
      <c r="A106" s="7" t="s">
        <v>46</v>
      </c>
      <c r="B106" s="6">
        <v>0</v>
      </c>
      <c r="C106" s="6">
        <v>9</v>
      </c>
      <c r="D106" s="6">
        <v>4</v>
      </c>
      <c r="E106" s="6">
        <v>7</v>
      </c>
      <c r="F106" s="6">
        <v>0</v>
      </c>
      <c r="G106" s="6">
        <v>0</v>
      </c>
      <c r="H106" s="6">
        <v>43</v>
      </c>
      <c r="I106" s="6">
        <v>0</v>
      </c>
      <c r="J106" s="30">
        <v>0</v>
      </c>
      <c r="K106" s="17">
        <v>0</v>
      </c>
      <c r="L106" s="17">
        <f>B106+C106+D106+E106+F106+G106+H106+I106+J106+K106</f>
        <v>63</v>
      </c>
    </row>
    <row r="107" spans="1:12" s="12" customFormat="1" x14ac:dyDescent="0.25">
      <c r="A107" s="7" t="s">
        <v>56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30">
        <v>0</v>
      </c>
      <c r="K107" s="17">
        <v>0</v>
      </c>
      <c r="L107" s="17">
        <f>B107+C107+D107+E107+F107+G107+H107+I107+J107+K107</f>
        <v>0</v>
      </c>
    </row>
    <row r="108" spans="1:12" s="12" customFormat="1" x14ac:dyDescent="0.25">
      <c r="A108" s="7" t="s">
        <v>47</v>
      </c>
      <c r="B108" s="6">
        <v>0</v>
      </c>
      <c r="C108" s="6">
        <v>1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30">
        <v>0</v>
      </c>
      <c r="K108" s="17">
        <v>0</v>
      </c>
      <c r="L108" s="17">
        <f>B108+C108+D108+E108+F108+G108+H108+I108+J108+K108</f>
        <v>1</v>
      </c>
    </row>
    <row r="109" spans="1:12" s="12" customFormat="1" x14ac:dyDescent="0.25">
      <c r="A109" s="7" t="s">
        <v>48</v>
      </c>
      <c r="B109" s="6">
        <v>0</v>
      </c>
      <c r="C109" s="6">
        <v>0</v>
      </c>
      <c r="D109" s="6">
        <v>0</v>
      </c>
      <c r="E109" s="6">
        <v>3</v>
      </c>
      <c r="F109" s="6">
        <v>0</v>
      </c>
      <c r="G109" s="6">
        <v>0</v>
      </c>
      <c r="H109" s="6">
        <v>0</v>
      </c>
      <c r="I109" s="6">
        <v>12</v>
      </c>
      <c r="J109" s="30">
        <v>0</v>
      </c>
      <c r="K109" s="17">
        <v>0</v>
      </c>
      <c r="L109" s="17">
        <f>B109+C109+D109+E109+F109+G109+H109+I109+J109+K109</f>
        <v>15</v>
      </c>
    </row>
    <row r="110" spans="1:12" s="12" customFormat="1" x14ac:dyDescent="0.25">
      <c r="A110" s="7" t="s">
        <v>49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30">
        <v>0</v>
      </c>
      <c r="K110" s="17">
        <v>0</v>
      </c>
      <c r="L110" s="17">
        <f>B110+C110+D110+E110+F110+G110+H110+I110+J110+K110</f>
        <v>0</v>
      </c>
    </row>
    <row r="111" spans="1:12" s="12" customFormat="1" x14ac:dyDescent="0.25">
      <c r="A111" s="7" t="s">
        <v>50</v>
      </c>
      <c r="B111" s="6">
        <v>0</v>
      </c>
      <c r="C111" s="6">
        <v>0</v>
      </c>
      <c r="D111" s="6">
        <v>0</v>
      </c>
      <c r="E111" s="6">
        <v>0</v>
      </c>
      <c r="F111" s="6">
        <v>156</v>
      </c>
      <c r="G111" s="6">
        <v>0</v>
      </c>
      <c r="H111" s="6">
        <v>0</v>
      </c>
      <c r="I111" s="6">
        <v>0</v>
      </c>
      <c r="J111" s="30">
        <v>0</v>
      </c>
      <c r="K111" s="17">
        <v>0</v>
      </c>
      <c r="L111" s="17">
        <f>B111+C111+D111+E111+F111+G111+H111+I111+J111+K111</f>
        <v>156</v>
      </c>
    </row>
    <row r="112" spans="1:12" s="12" customFormat="1" x14ac:dyDescent="0.25">
      <c r="A112" s="7" t="s">
        <v>51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30">
        <v>0</v>
      </c>
      <c r="K112" s="17">
        <v>0</v>
      </c>
      <c r="L112" s="17">
        <f>B112+C112+D112+E112+F112+G112+H112+I112+J112+K112</f>
        <v>0</v>
      </c>
    </row>
    <row r="113" spans="1:12" s="12" customFormat="1" x14ac:dyDescent="0.25">
      <c r="A113" s="7" t="s">
        <v>52</v>
      </c>
      <c r="B113" s="6">
        <v>0</v>
      </c>
      <c r="C113" s="6">
        <v>0</v>
      </c>
      <c r="D113" s="6">
        <v>0</v>
      </c>
      <c r="E113" s="6">
        <v>0</v>
      </c>
      <c r="F113" s="6">
        <v>3</v>
      </c>
      <c r="G113" s="6">
        <v>0</v>
      </c>
      <c r="H113" s="6">
        <v>0</v>
      </c>
      <c r="I113" s="6">
        <v>0</v>
      </c>
      <c r="J113" s="30">
        <v>0</v>
      </c>
      <c r="K113" s="17">
        <v>0</v>
      </c>
      <c r="L113" s="17">
        <f>B113+C113+D113+E113+F113+G113+H113+I113+J113+K113</f>
        <v>3</v>
      </c>
    </row>
    <row r="114" spans="1:12" s="12" customFormat="1" x14ac:dyDescent="0.25">
      <c r="A114" s="28" t="s">
        <v>4</v>
      </c>
      <c r="B114" s="14">
        <f>SUM(B81:B113)</f>
        <v>71</v>
      </c>
      <c r="C114" s="14">
        <f>SUM(C81:C113)</f>
        <v>200</v>
      </c>
      <c r="D114" s="14">
        <f>SUM(D81:D113)</f>
        <v>101</v>
      </c>
      <c r="E114" s="14">
        <f>SUM(E81:E113)</f>
        <v>178</v>
      </c>
      <c r="F114" s="14">
        <f>SUM(F81:F113)</f>
        <v>167</v>
      </c>
      <c r="G114" s="14">
        <f>SUM(G81:G113)</f>
        <v>127</v>
      </c>
      <c r="H114" s="14">
        <f>SUM(H81:H113)</f>
        <v>43</v>
      </c>
      <c r="I114" s="14">
        <f>SUM(I81:I113)</f>
        <v>107</v>
      </c>
      <c r="J114" s="14">
        <f>SUM(J81:J113)</f>
        <v>87</v>
      </c>
      <c r="K114" s="14">
        <f>K81+K82+K83+K84+K85+K86+K87+K88+K89+K90+K91+K92+K93+K94+K95+K96+K97+K98+K99+K101+K102+K103+K104+K105+K106+K107+K108+K109+K110+K111+K112+K113</f>
        <v>87</v>
      </c>
      <c r="L114" s="14">
        <f>L81+L82+L83+L84+L85+L86+L87+L88+L89+L90+L91+L92+L93+L94+L95+L96+L97+L98+L99+L100+L101+L102+L103+L104+L105+L106+L107+L108+L109+L110+L111+L112+L113</f>
        <v>1168</v>
      </c>
    </row>
    <row r="115" spans="1:12" s="12" customFormat="1" x14ac:dyDescent="0.25">
      <c r="A115" s="31" t="s">
        <v>91</v>
      </c>
    </row>
    <row r="116" spans="1:12" s="12" customFormat="1" ht="15.75" x14ac:dyDescent="0.25">
      <c r="F116" s="8"/>
    </row>
    <row r="117" spans="1:12" s="12" customFormat="1" ht="15.75" x14ac:dyDescent="0.25">
      <c r="F117" s="8"/>
    </row>
    <row r="118" spans="1:12" s="12" customFormat="1" ht="15.75" x14ac:dyDescent="0.25">
      <c r="F118" s="8"/>
    </row>
    <row r="119" spans="1:12" s="12" customFormat="1" x14ac:dyDescent="0.25"/>
    <row r="120" spans="1:12" s="12" customFormat="1" x14ac:dyDescent="0.25"/>
    <row r="121" spans="1:12" s="12" customFormat="1" x14ac:dyDescent="0.25"/>
    <row r="122" spans="1:12" s="12" customFormat="1" x14ac:dyDescent="0.25"/>
    <row r="123" spans="1:12" s="12" customFormat="1" x14ac:dyDescent="0.25"/>
    <row r="124" spans="1:12" s="12" customFormat="1" x14ac:dyDescent="0.25"/>
    <row r="125" spans="1:12" s="12" customFormat="1" x14ac:dyDescent="0.25"/>
    <row r="126" spans="1:12" s="12" customFormat="1" x14ac:dyDescent="0.25"/>
    <row r="127" spans="1:12" s="12" customFormat="1" x14ac:dyDescent="0.25"/>
    <row r="128" spans="1:12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</sheetData>
  <mergeCells count="29">
    <mergeCell ref="A75:L75"/>
    <mergeCell ref="A76:L76"/>
    <mergeCell ref="A44:L44"/>
    <mergeCell ref="A45:L45"/>
    <mergeCell ref="A46:L46"/>
    <mergeCell ref="B47:E47"/>
    <mergeCell ref="L47:L48"/>
    <mergeCell ref="A2:L2"/>
    <mergeCell ref="A3:L3"/>
    <mergeCell ref="A4:L4"/>
    <mergeCell ref="L5:L6"/>
    <mergeCell ref="A5:A7"/>
    <mergeCell ref="B5:E5"/>
    <mergeCell ref="B26:E26"/>
    <mergeCell ref="A23:L23"/>
    <mergeCell ref="A24:L24"/>
    <mergeCell ref="A25:L25"/>
    <mergeCell ref="A26:A28"/>
    <mergeCell ref="L78:L79"/>
    <mergeCell ref="F5:K5"/>
    <mergeCell ref="F78:K78"/>
    <mergeCell ref="F26:K26"/>
    <mergeCell ref="A43:XFD43"/>
    <mergeCell ref="L26:L27"/>
    <mergeCell ref="A78:A80"/>
    <mergeCell ref="F47:K47"/>
    <mergeCell ref="A47:A49"/>
    <mergeCell ref="B78:E78"/>
    <mergeCell ref="A77:L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60" verticalDpi="360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2025-01-15T16:02:49Z</cp:lastPrinted>
  <dcterms:created xsi:type="dcterms:W3CDTF">2022-07-11T13:01:47Z</dcterms:created>
  <dcterms:modified xsi:type="dcterms:W3CDTF">2025-01-23T18:05:31Z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