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D 3\Desktop\Informes ODD\Actividades Preventivas\2024\Actividades Anual 2024\"/>
    </mc:Choice>
  </mc:AlternateContent>
  <xr:revisionPtr revIDLastSave="0" documentId="13_ncr:1_{1439DC67-BDCE-49EF-8B25-288D49159C7F}" xr6:coauthVersionLast="47" xr6:coauthVersionMax="47" xr10:uidLastSave="{00000000-0000-0000-0000-000000000000}"/>
  <bookViews>
    <workbookView xWindow="-120" yWindow="-120" windowWidth="29040" windowHeight="15840" xr2:uid="{0001B127-1CC7-4572-8BDC-CF2559577958}"/>
  </bookViews>
  <sheets>
    <sheet name="Enero-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8" i="1" l="1"/>
  <c r="D84" i="1"/>
  <c r="H84" i="1"/>
  <c r="F84" i="1"/>
  <c r="B84" i="1"/>
  <c r="V100" i="1"/>
  <c r="N40" i="1"/>
  <c r="N39" i="1"/>
  <c r="R40" i="1"/>
  <c r="R39" i="1"/>
  <c r="P40" i="1"/>
  <c r="P39" i="1"/>
  <c r="L40" i="1"/>
  <c r="L39" i="1"/>
  <c r="J40" i="1"/>
  <c r="J39" i="1"/>
  <c r="D40" i="1"/>
  <c r="D39" i="1"/>
  <c r="H40" i="1"/>
  <c r="H39" i="1"/>
  <c r="F39" i="1"/>
  <c r="N38" i="1"/>
  <c r="N37" i="1"/>
  <c r="R38" i="1"/>
  <c r="R37" i="1"/>
  <c r="R36" i="1"/>
  <c r="R35" i="1"/>
  <c r="R34" i="1"/>
  <c r="P38" i="1"/>
  <c r="P37" i="1"/>
  <c r="P36" i="1"/>
  <c r="P35" i="1"/>
  <c r="P34" i="1"/>
  <c r="L37" i="1"/>
  <c r="L36" i="1"/>
  <c r="L35" i="1"/>
  <c r="L34" i="1"/>
  <c r="J38" i="1"/>
  <c r="J37" i="1"/>
  <c r="J36" i="1"/>
  <c r="J35" i="1"/>
  <c r="J34" i="1"/>
  <c r="T37" i="1"/>
  <c r="T36" i="1"/>
  <c r="T35" i="1"/>
  <c r="T34" i="1"/>
  <c r="B38" i="1"/>
  <c r="B37" i="1"/>
  <c r="V37" i="1" s="1"/>
  <c r="B36" i="1"/>
  <c r="B35" i="1"/>
  <c r="B34" i="1"/>
  <c r="D38" i="1"/>
  <c r="V38" i="1" s="1"/>
  <c r="D37" i="1"/>
  <c r="D36" i="1"/>
  <c r="D35" i="1"/>
  <c r="D34" i="1"/>
  <c r="H38" i="1"/>
  <c r="H37" i="1"/>
  <c r="H36" i="1"/>
  <c r="H35" i="1"/>
  <c r="V35" i="1" s="1"/>
  <c r="H34" i="1"/>
  <c r="F38" i="1"/>
  <c r="F37" i="1"/>
  <c r="F36" i="1"/>
  <c r="V36" i="1" s="1"/>
  <c r="F35" i="1"/>
  <c r="F34" i="1"/>
  <c r="R33" i="1"/>
  <c r="R32" i="1"/>
  <c r="R31" i="1"/>
  <c r="R30" i="1"/>
  <c r="R29" i="1"/>
  <c r="P33" i="1"/>
  <c r="P32" i="1"/>
  <c r="P31" i="1"/>
  <c r="P30" i="1"/>
  <c r="P29" i="1"/>
  <c r="L33" i="1"/>
  <c r="L32" i="1"/>
  <c r="L31" i="1"/>
  <c r="L30" i="1"/>
  <c r="L29" i="1"/>
  <c r="J33" i="1"/>
  <c r="J32" i="1"/>
  <c r="J31" i="1"/>
  <c r="V31" i="1" s="1"/>
  <c r="J30" i="1"/>
  <c r="J29" i="1"/>
  <c r="T33" i="1"/>
  <c r="T32" i="1"/>
  <c r="T31" i="1"/>
  <c r="T30" i="1"/>
  <c r="T29" i="1"/>
  <c r="B33" i="1"/>
  <c r="B32" i="1"/>
  <c r="B31" i="1"/>
  <c r="B30" i="1"/>
  <c r="B29" i="1"/>
  <c r="V29" i="1" s="1"/>
  <c r="D33" i="1"/>
  <c r="D32" i="1"/>
  <c r="D31" i="1"/>
  <c r="D30" i="1"/>
  <c r="V30" i="1" s="1"/>
  <c r="D29" i="1"/>
  <c r="F33" i="1"/>
  <c r="H33" i="1"/>
  <c r="H32" i="1"/>
  <c r="H31" i="1"/>
  <c r="H30" i="1"/>
  <c r="H29" i="1"/>
  <c r="F32" i="1"/>
  <c r="F31" i="1"/>
  <c r="F30" i="1"/>
  <c r="V82" i="1"/>
  <c r="V83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81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9" i="1"/>
  <c r="V70" i="1"/>
  <c r="V50" i="1"/>
  <c r="V34" i="1"/>
  <c r="V40" i="1"/>
  <c r="V9" i="1"/>
  <c r="V10" i="1"/>
  <c r="V11" i="1"/>
  <c r="V12" i="1"/>
  <c r="V13" i="1"/>
  <c r="V14" i="1"/>
  <c r="V15" i="1"/>
  <c r="V16" i="1"/>
  <c r="V17" i="1"/>
  <c r="V18" i="1"/>
  <c r="V19" i="1"/>
  <c r="V8" i="1"/>
  <c r="V32" i="1" l="1"/>
  <c r="V39" i="1"/>
  <c r="V84" i="1"/>
  <c r="V114" i="1" s="1"/>
  <c r="V33" i="1"/>
  <c r="V41" i="1" l="1"/>
  <c r="W100" i="1"/>
  <c r="V71" i="1"/>
  <c r="W68" i="1" s="1"/>
  <c r="V20" i="1"/>
  <c r="B114" i="1"/>
  <c r="C100" i="1" s="1"/>
  <c r="R71" i="1"/>
  <c r="P71" i="1"/>
  <c r="Q68" i="1" s="1"/>
  <c r="N71" i="1"/>
  <c r="O68" i="1" s="1"/>
  <c r="L71" i="1"/>
  <c r="M68" i="1" s="1"/>
  <c r="J71" i="1"/>
  <c r="K68" i="1" s="1"/>
  <c r="H71" i="1"/>
  <c r="I68" i="1" s="1"/>
  <c r="F71" i="1"/>
  <c r="G68" i="1" s="1"/>
  <c r="D71" i="1"/>
  <c r="E68" i="1" s="1"/>
  <c r="B71" i="1"/>
  <c r="C68" i="1" s="1"/>
  <c r="R41" i="1"/>
  <c r="S31" i="1" s="1"/>
  <c r="P41" i="1"/>
  <c r="Q33" i="1" s="1"/>
  <c r="N41" i="1"/>
  <c r="O32" i="1" s="1"/>
  <c r="L41" i="1"/>
  <c r="M30" i="1" s="1"/>
  <c r="J41" i="1"/>
  <c r="K32" i="1" s="1"/>
  <c r="H41" i="1"/>
  <c r="I30" i="1" s="1"/>
  <c r="F41" i="1"/>
  <c r="G32" i="1" s="1"/>
  <c r="D41" i="1"/>
  <c r="E30" i="1" s="1"/>
  <c r="B41" i="1"/>
  <c r="C33" i="1" s="1"/>
  <c r="S59" i="1" l="1"/>
  <c r="S68" i="1"/>
  <c r="W9" i="1"/>
  <c r="W13" i="1"/>
  <c r="W17" i="1"/>
  <c r="W16" i="1"/>
  <c r="W19" i="1"/>
  <c r="W18" i="1"/>
  <c r="W8" i="1"/>
  <c r="W15" i="1"/>
  <c r="W10" i="1"/>
  <c r="W12" i="1"/>
  <c r="W11" i="1"/>
  <c r="W14" i="1"/>
  <c r="W67" i="1"/>
  <c r="W51" i="1"/>
  <c r="W69" i="1"/>
  <c r="W65" i="1"/>
  <c r="W61" i="1"/>
  <c r="W59" i="1"/>
  <c r="W54" i="1"/>
  <c r="W52" i="1"/>
  <c r="W58" i="1"/>
  <c r="W56" i="1"/>
  <c r="W50" i="1"/>
  <c r="W70" i="1"/>
  <c r="W63" i="1"/>
  <c r="W62" i="1"/>
  <c r="W64" i="1"/>
  <c r="W66" i="1"/>
  <c r="W60" i="1"/>
  <c r="W53" i="1"/>
  <c r="W57" i="1"/>
  <c r="W55" i="1"/>
  <c r="S63" i="1"/>
  <c r="W86" i="1"/>
  <c r="W90" i="1"/>
  <c r="W94" i="1"/>
  <c r="W98" i="1"/>
  <c r="W103" i="1"/>
  <c r="W107" i="1"/>
  <c r="W111" i="1"/>
  <c r="W83" i="1"/>
  <c r="W87" i="1"/>
  <c r="W91" i="1"/>
  <c r="W95" i="1"/>
  <c r="W99" i="1"/>
  <c r="W104" i="1"/>
  <c r="W108" i="1"/>
  <c r="W112" i="1"/>
  <c r="W84" i="1"/>
  <c r="W88" i="1"/>
  <c r="W92" i="1"/>
  <c r="W96" i="1"/>
  <c r="W101" i="1"/>
  <c r="W105" i="1"/>
  <c r="W109" i="1"/>
  <c r="W113" i="1"/>
  <c r="W85" i="1"/>
  <c r="W89" i="1"/>
  <c r="W93" i="1"/>
  <c r="W97" i="1"/>
  <c r="W102" i="1"/>
  <c r="W106" i="1"/>
  <c r="W110" i="1"/>
  <c r="W81" i="1"/>
  <c r="W82" i="1"/>
  <c r="W30" i="1"/>
  <c r="W34" i="1"/>
  <c r="W38" i="1"/>
  <c r="W31" i="1"/>
  <c r="W35" i="1"/>
  <c r="W39" i="1"/>
  <c r="W36" i="1"/>
  <c r="W40" i="1"/>
  <c r="W37" i="1"/>
  <c r="W32" i="1"/>
  <c r="W33" i="1"/>
  <c r="W29" i="1"/>
  <c r="O39" i="1"/>
  <c r="O35" i="1"/>
  <c r="K31" i="1"/>
  <c r="I29" i="1"/>
  <c r="I40" i="1"/>
  <c r="I32" i="1"/>
  <c r="I37" i="1"/>
  <c r="G35" i="1"/>
  <c r="G31" i="1"/>
  <c r="S52" i="1"/>
  <c r="S69" i="1"/>
  <c r="S55" i="1"/>
  <c r="S67" i="1"/>
  <c r="S51" i="1"/>
  <c r="Q70" i="1"/>
  <c r="Q69" i="1"/>
  <c r="O70" i="1"/>
  <c r="O69" i="1"/>
  <c r="M70" i="1"/>
  <c r="M69" i="1"/>
  <c r="I70" i="1"/>
  <c r="I69" i="1"/>
  <c r="G70" i="1"/>
  <c r="G69" i="1"/>
  <c r="E70" i="1"/>
  <c r="E69" i="1"/>
  <c r="C55" i="1"/>
  <c r="C69" i="1"/>
  <c r="C63" i="1"/>
  <c r="C52" i="1"/>
  <c r="C62" i="1"/>
  <c r="C54" i="1"/>
  <c r="C67" i="1"/>
  <c r="C59" i="1"/>
  <c r="C51" i="1"/>
  <c r="C66" i="1"/>
  <c r="C58" i="1"/>
  <c r="K70" i="1"/>
  <c r="K69" i="1"/>
  <c r="S62" i="1"/>
  <c r="I36" i="1"/>
  <c r="K39" i="1"/>
  <c r="M29" i="1"/>
  <c r="O31" i="1"/>
  <c r="S37" i="1"/>
  <c r="C65" i="1"/>
  <c r="C61" i="1"/>
  <c r="C57" i="1"/>
  <c r="C53" i="1"/>
  <c r="S50" i="1"/>
  <c r="S65" i="1"/>
  <c r="S61" i="1"/>
  <c r="S57" i="1"/>
  <c r="S53" i="1"/>
  <c r="S33" i="1"/>
  <c r="T71" i="1"/>
  <c r="U68" i="1" s="1"/>
  <c r="S38" i="1"/>
  <c r="S30" i="1"/>
  <c r="S66" i="1"/>
  <c r="S58" i="1"/>
  <c r="S54" i="1"/>
  <c r="G39" i="1"/>
  <c r="I33" i="1"/>
  <c r="K35" i="1"/>
  <c r="S34" i="1"/>
  <c r="C70" i="1"/>
  <c r="C64" i="1"/>
  <c r="C60" i="1"/>
  <c r="C56" i="1"/>
  <c r="S70" i="1"/>
  <c r="S64" i="1"/>
  <c r="S60" i="1"/>
  <c r="S56" i="1"/>
  <c r="Q31" i="1"/>
  <c r="Q36" i="1"/>
  <c r="Q35" i="1"/>
  <c r="Q30" i="1"/>
  <c r="Q39" i="1"/>
  <c r="Q40" i="1"/>
  <c r="Q32" i="1"/>
  <c r="Q29" i="1"/>
  <c r="M33" i="1"/>
  <c r="M40" i="1"/>
  <c r="M32" i="1"/>
  <c r="M37" i="1"/>
  <c r="M36" i="1"/>
  <c r="E36" i="1"/>
  <c r="E37" i="1"/>
  <c r="E29" i="1"/>
  <c r="E33" i="1"/>
  <c r="E40" i="1"/>
  <c r="E32" i="1"/>
  <c r="C32" i="1"/>
  <c r="C36" i="1"/>
  <c r="C40" i="1"/>
  <c r="C39" i="1"/>
  <c r="C31" i="1"/>
  <c r="G34" i="1"/>
  <c r="G30" i="1"/>
  <c r="K38" i="1"/>
  <c r="K30" i="1"/>
  <c r="O38" i="1"/>
  <c r="O30" i="1"/>
  <c r="C38" i="1"/>
  <c r="C34" i="1"/>
  <c r="C30" i="1"/>
  <c r="E39" i="1"/>
  <c r="E35" i="1"/>
  <c r="E31" i="1"/>
  <c r="G29" i="1"/>
  <c r="G37" i="1"/>
  <c r="G33" i="1"/>
  <c r="I39" i="1"/>
  <c r="I35" i="1"/>
  <c r="I31" i="1"/>
  <c r="K29" i="1"/>
  <c r="K37" i="1"/>
  <c r="K33" i="1"/>
  <c r="M39" i="1"/>
  <c r="M35" i="1"/>
  <c r="M31" i="1"/>
  <c r="O29" i="1"/>
  <c r="O37" i="1"/>
  <c r="O33" i="1"/>
  <c r="Q38" i="1"/>
  <c r="Q34" i="1"/>
  <c r="S40" i="1"/>
  <c r="S36" i="1"/>
  <c r="S32" i="1"/>
  <c r="T41" i="1"/>
  <c r="C35" i="1"/>
  <c r="G38" i="1"/>
  <c r="K34" i="1"/>
  <c r="O34" i="1"/>
  <c r="C29" i="1"/>
  <c r="C37" i="1"/>
  <c r="E38" i="1"/>
  <c r="E34" i="1"/>
  <c r="G40" i="1"/>
  <c r="G36" i="1"/>
  <c r="I38" i="1"/>
  <c r="I34" i="1"/>
  <c r="K40" i="1"/>
  <c r="K36" i="1"/>
  <c r="M38" i="1"/>
  <c r="M34" i="1"/>
  <c r="O40" i="1"/>
  <c r="O36" i="1"/>
  <c r="Q37" i="1"/>
  <c r="S29" i="1"/>
  <c r="S39" i="1"/>
  <c r="S35" i="1"/>
  <c r="S71" i="1" l="1"/>
  <c r="I41" i="1"/>
  <c r="W71" i="1"/>
  <c r="U33" i="1"/>
  <c r="W41" i="1"/>
  <c r="U50" i="1"/>
  <c r="U69" i="1"/>
  <c r="U64" i="1"/>
  <c r="U54" i="1"/>
  <c r="U67" i="1"/>
  <c r="U53" i="1"/>
  <c r="U58" i="1"/>
  <c r="U55" i="1"/>
  <c r="U52" i="1"/>
  <c r="U57" i="1"/>
  <c r="U61" i="1"/>
  <c r="U66" i="1"/>
  <c r="U63" i="1"/>
  <c r="U56" i="1"/>
  <c r="U51" i="1"/>
  <c r="U70" i="1"/>
  <c r="E41" i="1"/>
  <c r="U62" i="1"/>
  <c r="U59" i="1"/>
  <c r="U60" i="1"/>
  <c r="U65" i="1"/>
  <c r="Q41" i="1"/>
  <c r="M41" i="1"/>
  <c r="C41" i="1"/>
  <c r="U30" i="1"/>
  <c r="U31" i="1"/>
  <c r="S41" i="1"/>
  <c r="U36" i="1"/>
  <c r="U32" i="1"/>
  <c r="U40" i="1"/>
  <c r="O41" i="1"/>
  <c r="G41" i="1"/>
  <c r="U34" i="1"/>
  <c r="U35" i="1"/>
  <c r="U37" i="1"/>
  <c r="U38" i="1"/>
  <c r="U39" i="1"/>
  <c r="U29" i="1"/>
  <c r="K41" i="1"/>
  <c r="U41" i="1" l="1"/>
  <c r="R20" i="1"/>
  <c r="P20" i="1"/>
  <c r="N20" i="1"/>
  <c r="L20" i="1"/>
  <c r="J20" i="1"/>
  <c r="H20" i="1"/>
  <c r="F20" i="1"/>
  <c r="D20" i="1"/>
  <c r="B20" i="1"/>
  <c r="O13" i="1" l="1"/>
  <c r="O11" i="1"/>
  <c r="O12" i="1"/>
  <c r="S13" i="1"/>
  <c r="S11" i="1"/>
  <c r="S12" i="1"/>
  <c r="Q11" i="1"/>
  <c r="Q12" i="1"/>
  <c r="Q13" i="1"/>
  <c r="M13" i="1"/>
  <c r="M12" i="1"/>
  <c r="M11" i="1"/>
  <c r="K12" i="1"/>
  <c r="K11" i="1"/>
  <c r="K13" i="1"/>
  <c r="I11" i="1"/>
  <c r="I12" i="1"/>
  <c r="I13" i="1"/>
  <c r="G12" i="1"/>
  <c r="G11" i="1"/>
  <c r="G13" i="1"/>
  <c r="E13" i="1"/>
  <c r="E12" i="1"/>
  <c r="E11" i="1"/>
  <c r="C12" i="1"/>
  <c r="C11" i="1"/>
  <c r="C13" i="1"/>
  <c r="O10" i="1"/>
  <c r="O17" i="1"/>
  <c r="O9" i="1"/>
  <c r="O14" i="1"/>
  <c r="O18" i="1"/>
  <c r="O8" i="1"/>
  <c r="O15" i="1"/>
  <c r="O19" i="1"/>
  <c r="O16" i="1"/>
  <c r="I15" i="1"/>
  <c r="I19" i="1"/>
  <c r="I18" i="1"/>
  <c r="I9" i="1"/>
  <c r="I16" i="1"/>
  <c r="I8" i="1"/>
  <c r="I10" i="1"/>
  <c r="I17" i="1"/>
  <c r="I14" i="1"/>
  <c r="C10" i="1"/>
  <c r="C17" i="1"/>
  <c r="C9" i="1"/>
  <c r="C8" i="1"/>
  <c r="C14" i="1"/>
  <c r="C18" i="1"/>
  <c r="C15" i="1"/>
  <c r="C19" i="1"/>
  <c r="C16" i="1"/>
  <c r="K10" i="1"/>
  <c r="K17" i="1"/>
  <c r="K16" i="1"/>
  <c r="K14" i="1"/>
  <c r="K18" i="1"/>
  <c r="K8" i="1"/>
  <c r="K15" i="1"/>
  <c r="K19" i="1"/>
  <c r="K9" i="1"/>
  <c r="S10" i="1"/>
  <c r="S17" i="1"/>
  <c r="S9" i="1"/>
  <c r="S14" i="1"/>
  <c r="S18" i="1"/>
  <c r="S8" i="1"/>
  <c r="S15" i="1"/>
  <c r="S19" i="1"/>
  <c r="S16" i="1"/>
  <c r="G10" i="1"/>
  <c r="G17" i="1"/>
  <c r="G8" i="1"/>
  <c r="G14" i="1"/>
  <c r="G18" i="1"/>
  <c r="G9" i="1"/>
  <c r="G15" i="1"/>
  <c r="G19" i="1"/>
  <c r="G16" i="1"/>
  <c r="Q15" i="1"/>
  <c r="Q19" i="1"/>
  <c r="Q14" i="1"/>
  <c r="Q9" i="1"/>
  <c r="Q16" i="1"/>
  <c r="Q8" i="1"/>
  <c r="Q10" i="1"/>
  <c r="Q17" i="1"/>
  <c r="Q18" i="1"/>
  <c r="E15" i="1"/>
  <c r="E19" i="1"/>
  <c r="E9" i="1"/>
  <c r="E16" i="1"/>
  <c r="E8" i="1"/>
  <c r="E18" i="1"/>
  <c r="E10" i="1"/>
  <c r="E17" i="1"/>
  <c r="E14" i="1"/>
  <c r="M15" i="1"/>
  <c r="M19" i="1"/>
  <c r="M14" i="1"/>
  <c r="M9" i="1"/>
  <c r="M16" i="1"/>
  <c r="M8" i="1"/>
  <c r="M10" i="1"/>
  <c r="M17" i="1"/>
  <c r="M18" i="1"/>
  <c r="T20" i="1"/>
  <c r="U11" i="1" l="1"/>
  <c r="U8" i="1"/>
  <c r="U16" i="1"/>
  <c r="U13" i="1"/>
  <c r="U12" i="1"/>
  <c r="U9" i="1"/>
  <c r="U15" i="1"/>
  <c r="E20" i="1"/>
  <c r="Q20" i="1"/>
  <c r="G20" i="1"/>
  <c r="U10" i="1"/>
  <c r="U14" i="1"/>
  <c r="I20" i="1"/>
  <c r="M20" i="1"/>
  <c r="S20" i="1"/>
  <c r="C20" i="1"/>
  <c r="O20" i="1"/>
  <c r="K20" i="1"/>
  <c r="U18" i="1"/>
  <c r="W20" i="1" l="1"/>
  <c r="U19" i="1"/>
  <c r="U17" i="1"/>
  <c r="U20" i="1" l="1"/>
  <c r="D114" i="1"/>
  <c r="F114" i="1"/>
  <c r="H114" i="1"/>
  <c r="J114" i="1"/>
  <c r="L114" i="1"/>
  <c r="N114" i="1"/>
  <c r="P114" i="1"/>
  <c r="E67" i="1"/>
  <c r="G67" i="1"/>
  <c r="I67" i="1"/>
  <c r="K67" i="1"/>
  <c r="O67" i="1"/>
  <c r="Q67" i="1"/>
  <c r="C50" i="1"/>
  <c r="C71" i="1" s="1"/>
  <c r="Q85" i="1" l="1"/>
  <c r="Q100" i="1"/>
  <c r="O114" i="1"/>
  <c r="O100" i="1"/>
  <c r="M114" i="1"/>
  <c r="M100" i="1"/>
  <c r="K114" i="1"/>
  <c r="K100" i="1"/>
  <c r="I114" i="1"/>
  <c r="I100" i="1"/>
  <c r="G114" i="1"/>
  <c r="G100" i="1"/>
  <c r="E83" i="1"/>
  <c r="E100" i="1"/>
  <c r="Q109" i="1"/>
  <c r="Q113" i="1"/>
  <c r="Q105" i="1"/>
  <c r="Q99" i="1"/>
  <c r="Q108" i="1"/>
  <c r="Q112" i="1"/>
  <c r="Q104" i="1"/>
  <c r="Q101" i="1"/>
  <c r="M67" i="1"/>
  <c r="Q96" i="1"/>
  <c r="Q95" i="1"/>
  <c r="Q92" i="1"/>
  <c r="Q91" i="1"/>
  <c r="I106" i="1"/>
  <c r="I102" i="1"/>
  <c r="I97" i="1"/>
  <c r="I110" i="1"/>
  <c r="I93" i="1"/>
  <c r="I89" i="1"/>
  <c r="I85" i="1"/>
  <c r="Q88" i="1"/>
  <c r="Q87" i="1"/>
  <c r="Q84" i="1"/>
  <c r="E98" i="1"/>
  <c r="M95" i="1"/>
  <c r="M83" i="1"/>
  <c r="Q83" i="1"/>
  <c r="Q114" i="1"/>
  <c r="E101" i="1"/>
  <c r="E111" i="1"/>
  <c r="E89" i="1"/>
  <c r="E110" i="1"/>
  <c r="E88" i="1"/>
  <c r="K108" i="1"/>
  <c r="E106" i="1"/>
  <c r="E94" i="1"/>
  <c r="E84" i="1"/>
  <c r="E105" i="1"/>
  <c r="E93" i="1"/>
  <c r="E82" i="1"/>
  <c r="E81" i="1"/>
  <c r="E109" i="1"/>
  <c r="E103" i="1"/>
  <c r="E97" i="1"/>
  <c r="E92" i="1"/>
  <c r="E86" i="1"/>
  <c r="M112" i="1"/>
  <c r="E113" i="1"/>
  <c r="E107" i="1"/>
  <c r="E102" i="1"/>
  <c r="E96" i="1"/>
  <c r="E90" i="1"/>
  <c r="E85" i="1"/>
  <c r="M99" i="1"/>
  <c r="I113" i="1"/>
  <c r="I105" i="1"/>
  <c r="I101" i="1"/>
  <c r="I92" i="1"/>
  <c r="I84" i="1"/>
  <c r="I112" i="1"/>
  <c r="I108" i="1"/>
  <c r="I104" i="1"/>
  <c r="I99" i="1"/>
  <c r="I95" i="1"/>
  <c r="I91" i="1"/>
  <c r="I87" i="1"/>
  <c r="I83" i="1"/>
  <c r="M108" i="1"/>
  <c r="M91" i="1"/>
  <c r="E114" i="1"/>
  <c r="I109" i="1"/>
  <c r="I96" i="1"/>
  <c r="I88" i="1"/>
  <c r="O102" i="1"/>
  <c r="I111" i="1"/>
  <c r="I107" i="1"/>
  <c r="I103" i="1"/>
  <c r="I98" i="1"/>
  <c r="I94" i="1"/>
  <c r="I90" i="1"/>
  <c r="I86" i="1"/>
  <c r="I82" i="1"/>
  <c r="M104" i="1"/>
  <c r="M87" i="1"/>
  <c r="C114" i="1"/>
  <c r="C83" i="1"/>
  <c r="C87" i="1"/>
  <c r="C91" i="1"/>
  <c r="C95" i="1"/>
  <c r="C99" i="1"/>
  <c r="C104" i="1"/>
  <c r="C108" i="1"/>
  <c r="C112" i="1"/>
  <c r="C84" i="1"/>
  <c r="C88" i="1"/>
  <c r="C92" i="1"/>
  <c r="C96" i="1"/>
  <c r="C101" i="1"/>
  <c r="C105" i="1"/>
  <c r="C109" i="1"/>
  <c r="C113" i="1"/>
  <c r="C85" i="1"/>
  <c r="C89" i="1"/>
  <c r="C93" i="1"/>
  <c r="C97" i="1"/>
  <c r="C102" i="1"/>
  <c r="C106" i="1"/>
  <c r="C110" i="1"/>
  <c r="C81" i="1"/>
  <c r="C82" i="1"/>
  <c r="C86" i="1"/>
  <c r="C90" i="1"/>
  <c r="C94" i="1"/>
  <c r="C98" i="1"/>
  <c r="C111" i="1"/>
  <c r="C107" i="1"/>
  <c r="C103" i="1"/>
  <c r="G97" i="1"/>
  <c r="M111" i="1"/>
  <c r="M107" i="1"/>
  <c r="M103" i="1"/>
  <c r="M98" i="1"/>
  <c r="M94" i="1"/>
  <c r="M90" i="1"/>
  <c r="M86" i="1"/>
  <c r="M82" i="1"/>
  <c r="K91" i="1"/>
  <c r="M110" i="1"/>
  <c r="M106" i="1"/>
  <c r="M102" i="1"/>
  <c r="M97" i="1"/>
  <c r="M93" i="1"/>
  <c r="M89" i="1"/>
  <c r="M85" i="1"/>
  <c r="Q111" i="1"/>
  <c r="Q107" i="1"/>
  <c r="Q103" i="1"/>
  <c r="Q98" i="1"/>
  <c r="Q94" i="1"/>
  <c r="Q90" i="1"/>
  <c r="Q86" i="1"/>
  <c r="Q82" i="1"/>
  <c r="E112" i="1"/>
  <c r="E108" i="1"/>
  <c r="E104" i="1"/>
  <c r="E99" i="1"/>
  <c r="E95" i="1"/>
  <c r="E91" i="1"/>
  <c r="E87" i="1"/>
  <c r="M113" i="1"/>
  <c r="M109" i="1"/>
  <c r="M105" i="1"/>
  <c r="M101" i="1"/>
  <c r="M96" i="1"/>
  <c r="M92" i="1"/>
  <c r="M88" i="1"/>
  <c r="M84" i="1"/>
  <c r="O85" i="1"/>
  <c r="Q110" i="1"/>
  <c r="Q106" i="1"/>
  <c r="Q102" i="1"/>
  <c r="Q97" i="1"/>
  <c r="Q93" i="1"/>
  <c r="Q89" i="1"/>
  <c r="O82" i="1"/>
  <c r="G110" i="1"/>
  <c r="K87" i="1"/>
  <c r="K84" i="1"/>
  <c r="G106" i="1"/>
  <c r="G89" i="1"/>
  <c r="K99" i="1"/>
  <c r="K83" i="1"/>
  <c r="O110" i="1"/>
  <c r="O93" i="1"/>
  <c r="G82" i="1"/>
  <c r="G93" i="1"/>
  <c r="K104" i="1"/>
  <c r="O97" i="1"/>
  <c r="G102" i="1"/>
  <c r="G85" i="1"/>
  <c r="K112" i="1"/>
  <c r="K95" i="1"/>
  <c r="O106" i="1"/>
  <c r="O89" i="1"/>
  <c r="G113" i="1"/>
  <c r="G109" i="1"/>
  <c r="G105" i="1"/>
  <c r="G101" i="1"/>
  <c r="G96" i="1"/>
  <c r="G92" i="1"/>
  <c r="G88" i="1"/>
  <c r="G84" i="1"/>
  <c r="K111" i="1"/>
  <c r="K107" i="1"/>
  <c r="K103" i="1"/>
  <c r="K98" i="1"/>
  <c r="K94" i="1"/>
  <c r="K90" i="1"/>
  <c r="K86" i="1"/>
  <c r="K82" i="1"/>
  <c r="O113" i="1"/>
  <c r="O109" i="1"/>
  <c r="O105" i="1"/>
  <c r="O101" i="1"/>
  <c r="O96" i="1"/>
  <c r="O92" i="1"/>
  <c r="O88" i="1"/>
  <c r="O84" i="1"/>
  <c r="G112" i="1"/>
  <c r="G108" i="1"/>
  <c r="G104" i="1"/>
  <c r="G99" i="1"/>
  <c r="G95" i="1"/>
  <c r="G91" i="1"/>
  <c r="G87" i="1"/>
  <c r="G83" i="1"/>
  <c r="K110" i="1"/>
  <c r="K106" i="1"/>
  <c r="K102" i="1"/>
  <c r="K97" i="1"/>
  <c r="K93" i="1"/>
  <c r="K89" i="1"/>
  <c r="K85" i="1"/>
  <c r="O112" i="1"/>
  <c r="O108" i="1"/>
  <c r="O104" i="1"/>
  <c r="O99" i="1"/>
  <c r="O95" i="1"/>
  <c r="O91" i="1"/>
  <c r="O87" i="1"/>
  <c r="O83" i="1"/>
  <c r="G111" i="1"/>
  <c r="G107" i="1"/>
  <c r="G103" i="1"/>
  <c r="G98" i="1"/>
  <c r="G94" i="1"/>
  <c r="G90" i="1"/>
  <c r="G86" i="1"/>
  <c r="K113" i="1"/>
  <c r="K109" i="1"/>
  <c r="K105" i="1"/>
  <c r="K101" i="1"/>
  <c r="K96" i="1"/>
  <c r="K92" i="1"/>
  <c r="K88" i="1"/>
  <c r="O111" i="1"/>
  <c r="O107" i="1"/>
  <c r="O103" i="1"/>
  <c r="O98" i="1"/>
  <c r="O94" i="1"/>
  <c r="O90" i="1"/>
  <c r="O86" i="1"/>
  <c r="R114" i="1" l="1"/>
  <c r="Q66" i="1"/>
  <c r="O66" i="1"/>
  <c r="M66" i="1"/>
  <c r="K66" i="1"/>
  <c r="I66" i="1"/>
  <c r="E66" i="1"/>
  <c r="I65" i="1"/>
  <c r="S114" i="1" l="1"/>
  <c r="S100" i="1"/>
  <c r="T114" i="1"/>
  <c r="U100" i="1" s="1"/>
  <c r="G65" i="1"/>
  <c r="G66" i="1"/>
  <c r="E65" i="1"/>
  <c r="M65" i="1"/>
  <c r="G50" i="1"/>
  <c r="O65" i="1"/>
  <c r="Q65" i="1"/>
  <c r="K65" i="1"/>
  <c r="E51" i="1"/>
  <c r="O50" i="1"/>
  <c r="Q50" i="1"/>
  <c r="K51" i="1"/>
  <c r="I50" i="1"/>
  <c r="M51" i="1"/>
  <c r="G52" i="1"/>
  <c r="G81" i="1"/>
  <c r="E64" i="1"/>
  <c r="I57" i="1"/>
  <c r="I61" i="1"/>
  <c r="E52" i="1"/>
  <c r="Q61" i="1"/>
  <c r="E56" i="1"/>
  <c r="Q53" i="1"/>
  <c r="E60" i="1"/>
  <c r="Q57" i="1"/>
  <c r="I53" i="1"/>
  <c r="M62" i="1"/>
  <c r="M58" i="1"/>
  <c r="M54" i="1"/>
  <c r="M50" i="1"/>
  <c r="Q63" i="1"/>
  <c r="E62" i="1"/>
  <c r="Q59" i="1"/>
  <c r="E58" i="1"/>
  <c r="Q55" i="1"/>
  <c r="E54" i="1"/>
  <c r="Q51" i="1"/>
  <c r="E50" i="1"/>
  <c r="M64" i="1"/>
  <c r="I63" i="1"/>
  <c r="M60" i="1"/>
  <c r="I59" i="1"/>
  <c r="M56" i="1"/>
  <c r="I55" i="1"/>
  <c r="M52" i="1"/>
  <c r="I51" i="1"/>
  <c r="K64" i="1"/>
  <c r="O63" i="1"/>
  <c r="G63" i="1"/>
  <c r="K62" i="1"/>
  <c r="O61" i="1"/>
  <c r="G61" i="1"/>
  <c r="K60" i="1"/>
  <c r="O59" i="1"/>
  <c r="G59" i="1"/>
  <c r="K58" i="1"/>
  <c r="O57" i="1"/>
  <c r="G57" i="1"/>
  <c r="K56" i="1"/>
  <c r="O55" i="1"/>
  <c r="G55" i="1"/>
  <c r="K54" i="1"/>
  <c r="O53" i="1"/>
  <c r="G53" i="1"/>
  <c r="K52" i="1"/>
  <c r="O51" i="1"/>
  <c r="G51" i="1"/>
  <c r="K50" i="1"/>
  <c r="Q64" i="1"/>
  <c r="I64" i="1"/>
  <c r="M63" i="1"/>
  <c r="E63" i="1"/>
  <c r="Q62" i="1"/>
  <c r="I62" i="1"/>
  <c r="M61" i="1"/>
  <c r="E61" i="1"/>
  <c r="Q60" i="1"/>
  <c r="I60" i="1"/>
  <c r="M59" i="1"/>
  <c r="E59" i="1"/>
  <c r="Q58" i="1"/>
  <c r="I58" i="1"/>
  <c r="M57" i="1"/>
  <c r="E57" i="1"/>
  <c r="Q56" i="1"/>
  <c r="I56" i="1"/>
  <c r="M55" i="1"/>
  <c r="E55" i="1"/>
  <c r="Q54" i="1"/>
  <c r="I54" i="1"/>
  <c r="M53" i="1"/>
  <c r="E53" i="1"/>
  <c r="Q52" i="1"/>
  <c r="I52" i="1"/>
  <c r="O64" i="1"/>
  <c r="G64" i="1"/>
  <c r="K63" i="1"/>
  <c r="O62" i="1"/>
  <c r="G62" i="1"/>
  <c r="K61" i="1"/>
  <c r="O60" i="1"/>
  <c r="G60" i="1"/>
  <c r="K59" i="1"/>
  <c r="O58" i="1"/>
  <c r="G58" i="1"/>
  <c r="K57" i="1"/>
  <c r="O56" i="1"/>
  <c r="G56" i="1"/>
  <c r="K55" i="1"/>
  <c r="O54" i="1"/>
  <c r="G54" i="1"/>
  <c r="K53" i="1"/>
  <c r="O52" i="1"/>
  <c r="I81" i="1"/>
  <c r="K81" i="1"/>
  <c r="O81" i="1"/>
  <c r="Q81" i="1"/>
  <c r="M81" i="1"/>
  <c r="W114" i="1" l="1"/>
  <c r="E71" i="1"/>
  <c r="I71" i="1"/>
  <c r="U106" i="1"/>
  <c r="U96" i="1"/>
  <c r="U93" i="1"/>
  <c r="U92" i="1"/>
  <c r="U104" i="1"/>
  <c r="U83" i="1"/>
  <c r="U98" i="1"/>
  <c r="U82" i="1"/>
  <c r="U111" i="1"/>
  <c r="U90" i="1"/>
  <c r="U102" i="1"/>
  <c r="U101" i="1"/>
  <c r="U87" i="1"/>
  <c r="U86" i="1"/>
  <c r="U97" i="1"/>
  <c r="U95" i="1"/>
  <c r="U85" i="1"/>
  <c r="U88" i="1"/>
  <c r="U99" i="1"/>
  <c r="U113" i="1"/>
  <c r="U94" i="1"/>
  <c r="U89" i="1"/>
  <c r="U105" i="1"/>
  <c r="U84" i="1"/>
  <c r="U91" i="1"/>
  <c r="U107" i="1"/>
  <c r="U81" i="1"/>
  <c r="U109" i="1"/>
  <c r="U108" i="1"/>
  <c r="U103" i="1"/>
  <c r="U112" i="1"/>
  <c r="Q71" i="1"/>
  <c r="U110" i="1"/>
  <c r="O71" i="1"/>
  <c r="M71" i="1"/>
  <c r="K71" i="1"/>
  <c r="G71" i="1"/>
  <c r="U114" i="1" l="1"/>
  <c r="U71" i="1"/>
  <c r="S107" i="1"/>
  <c r="S94" i="1"/>
  <c r="S98" i="1"/>
  <c r="S87" i="1"/>
  <c r="S103" i="1"/>
  <c r="S108" i="1"/>
  <c r="S90" i="1"/>
  <c r="S83" i="1"/>
  <c r="S110" i="1"/>
  <c r="S111" i="1"/>
  <c r="S99" i="1"/>
  <c r="S104" i="1"/>
  <c r="S89" i="1"/>
  <c r="S93" i="1"/>
  <c r="S112" i="1"/>
  <c r="S95" i="1"/>
  <c r="S97" i="1"/>
  <c r="S85" i="1"/>
  <c r="S82" i="1"/>
  <c r="S106" i="1"/>
  <c r="S86" i="1"/>
  <c r="S102" i="1"/>
  <c r="S91" i="1"/>
  <c r="S109" i="1"/>
  <c r="S113" i="1"/>
  <c r="S105" i="1"/>
  <c r="S92" i="1"/>
  <c r="S96" i="1"/>
  <c r="S84" i="1"/>
  <c r="S101" i="1"/>
  <c r="S88" i="1"/>
  <c r="S81" i="1"/>
</calcChain>
</file>

<file path=xl/sharedStrings.xml><?xml version="1.0" encoding="utf-8"?>
<sst xmlns="http://schemas.openxmlformats.org/spreadsheetml/2006/main" count="239" uniqueCount="93">
  <si>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</si>
  <si>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</si>
  <si>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</si>
  <si>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</si>
  <si>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</si>
  <si>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</si>
  <si>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</si>
  <si>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</si>
  <si>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</si>
  <si>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</si>
  <si>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>%</t>
  </si>
  <si>
    <t xml:space="preserve">CANTIDAD DE PARTICIPANTES POR LOS DEPARTAMENTOS  Y REGIONALES </t>
  </si>
  <si>
    <t>TABLA DE  TIPO DE ACTIVIDADES REALIZADAS POR LOS PROGRAMAS Y REGIONALES</t>
  </si>
  <si>
    <t>Curso</t>
  </si>
  <si>
    <t>Conversatorio</t>
  </si>
  <si>
    <t xml:space="preserve">Actividad recreativa </t>
  </si>
  <si>
    <t>Actividad cultural</t>
  </si>
  <si>
    <t>Actividad religiosa</t>
  </si>
  <si>
    <t>Actividad deportiva</t>
  </si>
  <si>
    <t>Seguimiento</t>
  </si>
  <si>
    <t>Capacitacion</t>
  </si>
  <si>
    <t>Graduación</t>
  </si>
  <si>
    <t>Festivales deportivos</t>
  </si>
  <si>
    <t>Campañas</t>
  </si>
  <si>
    <t>Conferencia</t>
  </si>
  <si>
    <t>Taller</t>
  </si>
  <si>
    <t xml:space="preserve">TABLA DE  NÚMERO DE ACTIVIDADES REALIZADAS POR LOS PROGRAMAS SEGÚN PROCEDENCIA 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</si>
  <si>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</si>
  <si>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</si>
  <si>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</si>
  <si>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</si>
  <si>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</si>
  <si>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</si>
  <si>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</si>
  <si>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</si>
  <si>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</si>
  <si>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</si>
  <si>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</si>
  <si>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</si>
  <si>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</si>
  <si>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</si>
  <si>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</si>
  <si>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</si>
  <si>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</si>
  <si>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</si>
  <si>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</si>
  <si>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</si>
  <si>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</si>
  <si>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</si>
  <si>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</si>
  <si>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</si>
  <si>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</si>
  <si>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</si>
  <si>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</si>
  <si>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</si>
  <si>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</si>
  <si>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</si>
  <si>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</si>
  <si>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</si>
  <si>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>Seminario</t>
  </si>
  <si>
    <t>Implementaciones</t>
  </si>
  <si>
    <t xml:space="preserve">D. N. y Sto. Dgo. </t>
  </si>
  <si>
    <t>OCTUBRE</t>
  </si>
  <si>
    <t>NOVIEMBRE</t>
  </si>
  <si>
    <t>DICIEMBRE</t>
  </si>
  <si>
    <t>Orientacion ciudadana</t>
  </si>
  <si>
    <t>Supervision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</si>
  <si>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</si>
  <si>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</si>
  <si>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</si>
  <si>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</si>
  <si>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</si>
  <si>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</si>
  <si>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</si>
  <si>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</si>
  <si>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</si>
  <si>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Reuniones</t>
  </si>
  <si>
    <t>DRCNORTE</t>
  </si>
  <si>
    <t>DREN</t>
  </si>
  <si>
    <t>DRHI</t>
  </si>
  <si>
    <t>DROZAMA</t>
  </si>
  <si>
    <t xml:space="preserve">OCTUBRE </t>
  </si>
  <si>
    <t xml:space="preserve">ENERO </t>
  </si>
  <si>
    <t xml:space="preserve">AGOSTO </t>
  </si>
  <si>
    <t>Otras actividades</t>
  </si>
  <si>
    <t>Medios de Comunicación</t>
  </si>
  <si>
    <t>DRCNORESTE</t>
  </si>
  <si>
    <t>ENERO - DICIEMBRE 2024</t>
  </si>
  <si>
    <t>Tipo de Actividad</t>
  </si>
  <si>
    <t>Provincias</t>
  </si>
  <si>
    <t>DRVALDESIA</t>
  </si>
  <si>
    <t>Ocoa</t>
  </si>
  <si>
    <t>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</si>
</sst>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2" borderId="0" applyNumberFormat="0" applyBorder="0" applyAlignment="0" applyProtection="0"/>
  </cellStyleXfs>
  <cellXfs count="54">
    <xf numFmtId="0" fontId="0" fillId="0" borderId="0" xfId="0"/>
    <xf numFmtId="0" fontId="8" fillId="0" borderId="0" xfId="5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9" fontId="6" fillId="0" borderId="0" xfId="1" applyFont="1" applyBorder="1" applyAlignment="1">
      <alignment horizontal="center"/>
    </xf>
    <xf numFmtId="0" fontId="5" fillId="0" borderId="0" xfId="2" applyFont="1" applyAlignment="1">
      <alignment horizontal="center"/>
    </xf>
    <xf numFmtId="9" fontId="6" fillId="0" borderId="0" xfId="1" applyFont="1" applyFill="1" applyBorder="1" applyAlignment="1">
      <alignment horizontal="center"/>
    </xf>
    <xf numFmtId="3" fontId="6" fillId="0" borderId="0" xfId="2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0" fontId="3" fillId="0" borderId="8" xfId="2" applyBorder="1" applyAlignment="1">
      <alignment horizontal="left"/>
    </xf>
    <xf numFmtId="3" fontId="10" fillId="0" borderId="6" xfId="0" applyNumberFormat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3" fontId="4" fillId="0" borderId="6" xfId="2" applyNumberFormat="1" applyFont="1" applyBorder="1" applyAlignment="1">
      <alignment horizontal="center"/>
    </xf>
    <xf numFmtId="0" fontId="3" fillId="0" borderId="6" xfId="2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3" fillId="0" borderId="6" xfId="4" applyBorder="1" applyAlignment="1">
      <alignment horizontal="left"/>
    </xf>
    <xf numFmtId="0" fontId="10" fillId="0" borderId="6" xfId="0" applyFont="1" applyBorder="1" applyAlignment="1">
      <alignment horizontal="center"/>
    </xf>
    <xf numFmtId="3" fontId="3" fillId="0" borderId="6" xfId="4" applyNumberFormat="1" applyBorder="1" applyAlignment="1">
      <alignment horizontal="center"/>
    </xf>
    <xf numFmtId="0" fontId="10" fillId="0" borderId="6" xfId="0" applyFont="1" applyBorder="1" applyAlignment="1">
      <alignment horizontal="left"/>
    </xf>
    <xf numFmtId="3" fontId="3" fillId="0" borderId="6" xfId="6" applyNumberFormat="1" applyBorder="1" applyAlignment="1">
      <alignment horizontal="center"/>
    </xf>
    <xf numFmtId="9" fontId="4" fillId="0" borderId="6" xfId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4" fillId="2" borderId="6" xfId="7" applyNumberFormat="1" applyFont="1" applyBorder="1" applyAlignment="1">
      <alignment horizontal="center"/>
    </xf>
    <xf numFmtId="0" fontId="14" fillId="2" borderId="6" xfId="7" applyFont="1" applyBorder="1" applyAlignment="1">
      <alignment horizontal="center"/>
    </xf>
    <xf numFmtId="0" fontId="14" fillId="2" borderId="6" xfId="7" applyFont="1" applyBorder="1" applyAlignment="1">
      <alignment horizontal="center" vertical="center" wrapText="1"/>
    </xf>
    <xf numFmtId="3" fontId="14" fillId="2" borderId="6" xfId="7" applyNumberFormat="1" applyFont="1" applyBorder="1" applyAlignment="1">
      <alignment horizontal="center" vertical="center" wrapText="1"/>
    </xf>
    <xf numFmtId="9" fontId="14" fillId="2" borderId="6" xfId="7" applyNumberFormat="1" applyFont="1" applyBorder="1" applyAlignment="1">
      <alignment horizontal="center"/>
    </xf>
    <xf numFmtId="0" fontId="14" fillId="2" borderId="6" xfId="7" applyFont="1" applyBorder="1"/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1" xfId="2" applyFont="1" applyBorder="1" applyAlignment="1">
      <alignment horizontal="center"/>
    </xf>
    <xf numFmtId="0" fontId="7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14" fillId="2" borderId="3" xfId="7" applyFont="1" applyBorder="1" applyAlignment="1">
      <alignment horizontal="center"/>
    </xf>
    <xf numFmtId="0" fontId="14" fillId="2" borderId="5" xfId="7" applyFont="1" applyBorder="1" applyAlignment="1">
      <alignment horizontal="center"/>
    </xf>
    <xf numFmtId="0" fontId="4" fillId="0" borderId="0" xfId="6" applyFont="1" applyAlignment="1">
      <alignment horizontal="center"/>
    </xf>
    <xf numFmtId="0" fontId="14" fillId="2" borderId="4" xfId="7" applyFont="1" applyBorder="1" applyAlignment="1">
      <alignment horizontal="center"/>
    </xf>
    <xf numFmtId="0" fontId="14" fillId="2" borderId="2" xfId="7" applyFont="1" applyBorder="1" applyAlignment="1">
      <alignment horizontal="center" vertical="center"/>
    </xf>
    <xf numFmtId="0" fontId="14" fillId="2" borderId="7" xfId="7" applyFont="1" applyBorder="1" applyAlignment="1">
      <alignment horizontal="center" vertical="center"/>
    </xf>
    <xf numFmtId="0" fontId="14" fillId="2" borderId="8" xfId="7" applyFont="1" applyBorder="1" applyAlignment="1">
      <alignment horizontal="center" vertical="center"/>
    </xf>
    <xf numFmtId="3" fontId="14" fillId="2" borderId="3" xfId="7" applyNumberFormat="1" applyFont="1" applyBorder="1" applyAlignment="1">
      <alignment horizontal="center"/>
    </xf>
    <xf numFmtId="3" fontId="14" fillId="2" borderId="4" xfId="7" applyNumberFormat="1" applyFont="1" applyBorder="1" applyAlignment="1">
      <alignment horizontal="center"/>
    </xf>
    <xf numFmtId="3" fontId="14" fillId="2" borderId="5" xfId="7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3" fontId="14" fillId="2" borderId="9" xfId="7" applyNumberFormat="1" applyFont="1" applyBorder="1" applyAlignment="1">
      <alignment horizontal="center" vertical="center"/>
    </xf>
    <xf numFmtId="3" fontId="14" fillId="2" borderId="10" xfId="7" applyNumberFormat="1" applyFont="1" applyBorder="1" applyAlignment="1">
      <alignment horizontal="center" vertical="center"/>
    </xf>
    <xf numFmtId="3" fontId="14" fillId="2" borderId="11" xfId="7" applyNumberFormat="1" applyFont="1" applyBorder="1" applyAlignment="1">
      <alignment horizontal="center" vertical="center"/>
    </xf>
    <xf numFmtId="3" fontId="14" fillId="2" borderId="12" xfId="7" applyNumberFormat="1" applyFont="1" applyBorder="1" applyAlignment="1">
      <alignment horizontal="center" vertical="center"/>
    </xf>
    <xf numFmtId="0" fontId="14" fillId="2" borderId="9" xfId="7" applyFont="1" applyBorder="1" applyAlignment="1">
      <alignment horizontal="center" vertical="center"/>
    </xf>
    <xf numFmtId="0" fontId="14" fillId="2" borderId="10" xfId="7" applyFont="1" applyBorder="1" applyAlignment="1">
      <alignment horizontal="center" vertical="center"/>
    </xf>
    <xf numFmtId="0" fontId="14" fillId="2" borderId="11" xfId="7" applyFont="1" applyBorder="1" applyAlignment="1">
      <alignment horizontal="center" vertical="center"/>
    </xf>
    <xf numFmtId="0" fontId="14" fillId="2" borderId="12" xfId="7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8">
    <cellStyle name="Énfasis2" xfId="7" builtinId="33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114</xdr:row>
      <xdr:rowOff>95251</xdr:rowOff>
    </xdr:from>
    <xdr:to>
      <xdr:col>16</xdr:col>
      <xdr:colOff>84878</xdr:colOff>
      <xdr:row>119</xdr:row>
      <xdr:rowOff>41276</xdr:rowOff>
    </xdr:to>
    <xdr:pic>
      <xdr:nvPicPr>
        <xdr:cNvPr id="2" name="image3.jpeg">
          <a:extLst>
            <a:ext uri="{FF2B5EF4-FFF2-40B4-BE49-F238E27FC236}">
              <a16:creationId xmlns:a16="http://schemas.microsoft.com/office/drawing/2014/main" id="{F46D104A-96DB-4B2C-9045-11981AA08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7833" y="21854584"/>
          <a:ext cx="3164628" cy="93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W118"/>
  <sheetViews>
    <sheetView showGridLines="0" tabSelected="1" topLeftCell="A88" zoomScale="90" zoomScaleNormal="90" workbookViewId="0">
      <selection activeCell="S119" sqref="S119"/>
    </sheetView>
  </sheetViews>
  <sheetFormatPr baseColWidth="10" defaultRowHeight="15" x14ac:dyDescent="0.25"/>
  <cols>
    <col min="1" max="1" width="23" customWidth="1"/>
    <col min="2" max="2" width="11.28515625" customWidth="1"/>
    <col min="3" max="3" width="7.85546875" customWidth="1"/>
    <col min="4" max="4" width="7.5703125" customWidth="1"/>
    <col min="5" max="5" width="7.140625" bestFit="1" customWidth="1"/>
    <col min="6" max="6" width="5.7109375" customWidth="1"/>
    <col min="7" max="7" width="7.140625" bestFit="1" customWidth="1"/>
    <col min="8" max="8" width="7.7109375" customWidth="1"/>
    <col min="9" max="9" width="9.140625" customWidth="1"/>
    <col min="10" max="10" width="7.5703125" customWidth="1"/>
    <col min="11" max="11" width="7.140625" bestFit="1" customWidth="1"/>
    <col min="12" max="12" width="7.42578125" bestFit="1" customWidth="1"/>
    <col min="13" max="13" width="7.140625" bestFit="1" customWidth="1"/>
    <col min="14" max="14" width="6.42578125" customWidth="1"/>
    <col min="15" max="15" width="6.5703125" customWidth="1"/>
    <col min="16" max="16" width="6.140625" customWidth="1"/>
    <col min="17" max="17" width="6.42578125" customWidth="1"/>
    <col min="18" max="18" width="9" customWidth="1"/>
    <col min="19" max="19" width="11" customWidth="1"/>
  </cols>
  <sheetData>
    <row r="2" spans="1:23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15" customHeight="1" x14ac:dyDescent="0.25">
      <c r="A3" s="44" t="s">
        <v>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x14ac:dyDescent="0.25">
      <c r="A4" s="31" t="s">
        <v>87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x14ac:dyDescent="0.25">
      <c r="A5" s="38" t="s">
        <v>1</v>
      </c>
      <c r="B5" s="41" t="s">
        <v>2</v>
      </c>
      <c r="C5" s="42"/>
      <c r="D5" s="42"/>
      <c r="E5" s="42"/>
      <c r="F5" s="42"/>
      <c r="G5" s="42"/>
      <c r="H5" s="42"/>
      <c r="I5" s="43"/>
      <c r="J5" s="41" t="s">
        <v>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  <c r="V5" s="45" t="s">
        <v>4</v>
      </c>
      <c r="W5" s="46"/>
    </row>
    <row r="6" spans="1:23" x14ac:dyDescent="0.25">
      <c r="A6" s="39"/>
      <c r="B6" s="41" t="s">
        <v>5</v>
      </c>
      <c r="C6" s="43"/>
      <c r="D6" s="41" t="s">
        <v>6</v>
      </c>
      <c r="E6" s="43"/>
      <c r="F6" s="41" t="s">
        <v>7</v>
      </c>
      <c r="G6" s="43"/>
      <c r="H6" s="41" t="s">
        <v>8</v>
      </c>
      <c r="I6" s="43"/>
      <c r="J6" s="34" t="s">
        <v>77</v>
      </c>
      <c r="K6" s="35"/>
      <c r="L6" s="34" t="s">
        <v>78</v>
      </c>
      <c r="M6" s="35"/>
      <c r="N6" s="41" t="s">
        <v>90</v>
      </c>
      <c r="O6" s="43"/>
      <c r="P6" s="34" t="s">
        <v>79</v>
      </c>
      <c r="Q6" s="35"/>
      <c r="R6" s="34" t="s">
        <v>80</v>
      </c>
      <c r="S6" s="35"/>
      <c r="T6" s="41" t="s">
        <v>86</v>
      </c>
      <c r="U6" s="43"/>
      <c r="V6" s="47"/>
      <c r="W6" s="48"/>
    </row>
    <row r="7" spans="1:23" x14ac:dyDescent="0.25">
      <c r="A7" s="40"/>
      <c r="B7" s="23" t="s">
        <v>9</v>
      </c>
      <c r="C7" s="24" t="s">
        <v>10</v>
      </c>
      <c r="D7" s="23" t="s">
        <v>9</v>
      </c>
      <c r="E7" s="24" t="s">
        <v>10</v>
      </c>
      <c r="F7" s="23" t="s">
        <v>9</v>
      </c>
      <c r="G7" s="24" t="s">
        <v>10</v>
      </c>
      <c r="H7" s="23" t="s">
        <v>9</v>
      </c>
      <c r="I7" s="24" t="s">
        <v>10</v>
      </c>
      <c r="J7" s="23" t="s">
        <v>9</v>
      </c>
      <c r="K7" s="24" t="s">
        <v>10</v>
      </c>
      <c r="L7" s="23" t="s">
        <v>9</v>
      </c>
      <c r="M7" s="24" t="s">
        <v>10</v>
      </c>
      <c r="N7" s="23" t="s">
        <v>9</v>
      </c>
      <c r="O7" s="24" t="s">
        <v>10</v>
      </c>
      <c r="P7" s="23" t="s">
        <v>9</v>
      </c>
      <c r="Q7" s="24" t="s">
        <v>10</v>
      </c>
      <c r="R7" s="23" t="s">
        <v>9</v>
      </c>
      <c r="S7" s="24" t="s">
        <v>10</v>
      </c>
      <c r="T7" s="23" t="s">
        <v>9</v>
      </c>
      <c r="U7" s="24" t="s">
        <v>10</v>
      </c>
      <c r="V7" s="23" t="s">
        <v>9</v>
      </c>
      <c r="W7" s="24" t="s">
        <v>10</v>
      </c>
    </row>
    <row r="8" spans="1:23" x14ac:dyDescent="0.25">
      <c r="A8" s="9" t="s">
        <v>82</v>
      </c>
      <c r="B8" s="10">
        <v>9</v>
      </c>
      <c r="C8" s="11">
        <f>B8/$B$20</f>
        <v>0.12676056338028169</v>
      </c>
      <c r="D8" s="10">
        <v>21</v>
      </c>
      <c r="E8" s="11">
        <f>D8/$D$20</f>
        <v>0.105</v>
      </c>
      <c r="F8" s="10">
        <v>2</v>
      </c>
      <c r="G8" s="11">
        <f>F8/$F$20</f>
        <v>1.9801980198019802E-2</v>
      </c>
      <c r="H8" s="10">
        <v>19</v>
      </c>
      <c r="I8" s="11">
        <f>H8/$H$20</f>
        <v>0.10674157303370786</v>
      </c>
      <c r="J8" s="10">
        <v>19</v>
      </c>
      <c r="K8" s="11">
        <f>J8/$J$20</f>
        <v>0.11377245508982035</v>
      </c>
      <c r="L8" s="10">
        <v>11</v>
      </c>
      <c r="M8" s="11">
        <f>L8/$L$20</f>
        <v>8.6614173228346455E-2</v>
      </c>
      <c r="N8" s="10">
        <v>0</v>
      </c>
      <c r="O8" s="11">
        <f>N8/$N$20</f>
        <v>0</v>
      </c>
      <c r="P8" s="10">
        <v>1</v>
      </c>
      <c r="Q8" s="11">
        <f>P8/$P$20</f>
        <v>9.3457943925233638E-3</v>
      </c>
      <c r="R8" s="10">
        <v>8</v>
      </c>
      <c r="S8" s="11">
        <f>R8/$R$20</f>
        <v>9.1954022988505746E-2</v>
      </c>
      <c r="T8" s="12">
        <v>5</v>
      </c>
      <c r="U8" s="11">
        <f>T8/$T$20</f>
        <v>5.7471264367816091E-2</v>
      </c>
      <c r="V8" s="12">
        <f>B8+D8+F8+H8+J8+L8+N8+P8+R8+T8</f>
        <v>95</v>
      </c>
      <c r="W8" s="11">
        <f>V8/$V$20</f>
        <v>8.133561643835617E-2</v>
      </c>
    </row>
    <row r="9" spans="1:23" x14ac:dyDescent="0.25">
      <c r="A9" s="9" t="s">
        <v>68</v>
      </c>
      <c r="B9" s="10">
        <v>6</v>
      </c>
      <c r="C9" s="11">
        <f t="shared" ref="C9:C19" si="0">B9/$B$20</f>
        <v>8.4507042253521125E-2</v>
      </c>
      <c r="D9" s="10">
        <v>25</v>
      </c>
      <c r="E9" s="11">
        <f t="shared" ref="E9:E19" si="1">D9/$D$20</f>
        <v>0.125</v>
      </c>
      <c r="F9" s="10">
        <v>9</v>
      </c>
      <c r="G9" s="11">
        <f t="shared" ref="G9:G19" si="2">F9/$F$20</f>
        <v>8.9108910891089105E-2</v>
      </c>
      <c r="H9" s="10">
        <v>15</v>
      </c>
      <c r="I9" s="11">
        <f t="shared" ref="I9:I19" si="3">H9/$H$20</f>
        <v>8.4269662921348312E-2</v>
      </c>
      <c r="J9" s="10">
        <v>15</v>
      </c>
      <c r="K9" s="11">
        <f t="shared" ref="K9:K19" si="4">J9/$J$20</f>
        <v>8.9820359281437126E-2</v>
      </c>
      <c r="L9" s="10">
        <v>13</v>
      </c>
      <c r="M9" s="11">
        <f t="shared" ref="M9:M19" si="5">L9/$L$20</f>
        <v>0.10236220472440945</v>
      </c>
      <c r="N9" s="10">
        <v>0</v>
      </c>
      <c r="O9" s="11">
        <f t="shared" ref="O9:O19" si="6">N9/$N$20</f>
        <v>0</v>
      </c>
      <c r="P9" s="10">
        <v>1</v>
      </c>
      <c r="Q9" s="11">
        <f t="shared" ref="Q9:Q19" si="7">P9/$P$20</f>
        <v>9.3457943925233638E-3</v>
      </c>
      <c r="R9" s="10">
        <v>8</v>
      </c>
      <c r="S9" s="11">
        <f t="shared" ref="S9:S19" si="8">R9/$R$20</f>
        <v>9.1954022988505746E-2</v>
      </c>
      <c r="T9" s="12">
        <v>6</v>
      </c>
      <c r="U9" s="11">
        <f t="shared" ref="U9:U16" si="9">T9/$T$20</f>
        <v>6.8965517241379309E-2</v>
      </c>
      <c r="V9" s="12">
        <f t="shared" ref="V9:V19" si="10">B9+D9+F9+H9+J9+L9+N9+P9+R9+T9</f>
        <v>98</v>
      </c>
      <c r="W9" s="11">
        <f t="shared" ref="W9:W19" si="11">V9/$V$20</f>
        <v>8.3904109589041098E-2</v>
      </c>
    </row>
    <row r="10" spans="1:23" x14ac:dyDescent="0.25">
      <c r="A10" s="9" t="s">
        <v>69</v>
      </c>
      <c r="B10" s="10">
        <v>7</v>
      </c>
      <c r="C10" s="11">
        <f t="shared" si="0"/>
        <v>9.8591549295774641E-2</v>
      </c>
      <c r="D10" s="10">
        <v>29</v>
      </c>
      <c r="E10" s="11">
        <f t="shared" si="1"/>
        <v>0.14499999999999999</v>
      </c>
      <c r="F10" s="10">
        <v>7</v>
      </c>
      <c r="G10" s="11">
        <f t="shared" si="2"/>
        <v>6.9306930693069313E-2</v>
      </c>
      <c r="H10" s="10">
        <v>14</v>
      </c>
      <c r="I10" s="11">
        <f t="shared" si="3"/>
        <v>7.8651685393258425E-2</v>
      </c>
      <c r="J10" s="10">
        <v>24</v>
      </c>
      <c r="K10" s="11">
        <f t="shared" si="4"/>
        <v>0.1437125748502994</v>
      </c>
      <c r="L10" s="10">
        <v>30</v>
      </c>
      <c r="M10" s="11">
        <f t="shared" si="5"/>
        <v>0.23622047244094488</v>
      </c>
      <c r="N10" s="10">
        <v>0</v>
      </c>
      <c r="O10" s="11">
        <f t="shared" si="6"/>
        <v>0</v>
      </c>
      <c r="P10" s="10">
        <v>8</v>
      </c>
      <c r="Q10" s="11">
        <f t="shared" si="7"/>
        <v>7.476635514018691E-2</v>
      </c>
      <c r="R10" s="10">
        <v>23</v>
      </c>
      <c r="S10" s="11">
        <f t="shared" si="8"/>
        <v>0.26436781609195403</v>
      </c>
      <c r="T10" s="12">
        <v>26</v>
      </c>
      <c r="U10" s="11">
        <f t="shared" si="9"/>
        <v>0.2988505747126437</v>
      </c>
      <c r="V10" s="12">
        <f t="shared" si="10"/>
        <v>168</v>
      </c>
      <c r="W10" s="11">
        <f t="shared" si="11"/>
        <v>0.14383561643835616</v>
      </c>
    </row>
    <row r="11" spans="1:23" x14ac:dyDescent="0.25">
      <c r="A11" s="9" t="s">
        <v>70</v>
      </c>
      <c r="B11" s="10">
        <v>10</v>
      </c>
      <c r="C11" s="11">
        <f t="shared" si="0"/>
        <v>0.14084507042253522</v>
      </c>
      <c r="D11" s="10">
        <v>38</v>
      </c>
      <c r="E11" s="11">
        <f t="shared" si="1"/>
        <v>0.19</v>
      </c>
      <c r="F11" s="10">
        <v>9</v>
      </c>
      <c r="G11" s="11">
        <f t="shared" si="2"/>
        <v>8.9108910891089105E-2</v>
      </c>
      <c r="H11" s="10">
        <v>17</v>
      </c>
      <c r="I11" s="11">
        <f t="shared" si="3"/>
        <v>9.5505617977528087E-2</v>
      </c>
      <c r="J11" s="10">
        <v>14</v>
      </c>
      <c r="K11" s="11">
        <f t="shared" si="4"/>
        <v>8.3832335329341312E-2</v>
      </c>
      <c r="L11" s="10">
        <v>22</v>
      </c>
      <c r="M11" s="11">
        <f t="shared" si="5"/>
        <v>0.17322834645669291</v>
      </c>
      <c r="N11" s="10">
        <v>0</v>
      </c>
      <c r="O11" s="11">
        <f t="shared" si="6"/>
        <v>0</v>
      </c>
      <c r="P11" s="10">
        <v>12</v>
      </c>
      <c r="Q11" s="11">
        <f t="shared" si="7"/>
        <v>0.11214953271028037</v>
      </c>
      <c r="R11" s="10">
        <v>11</v>
      </c>
      <c r="S11" s="11">
        <f t="shared" si="8"/>
        <v>0.12643678160919541</v>
      </c>
      <c r="T11" s="12">
        <v>13</v>
      </c>
      <c r="U11" s="11">
        <f t="shared" si="9"/>
        <v>0.14942528735632185</v>
      </c>
      <c r="V11" s="12">
        <f t="shared" si="10"/>
        <v>146</v>
      </c>
      <c r="W11" s="11">
        <f t="shared" si="11"/>
        <v>0.125</v>
      </c>
    </row>
    <row r="12" spans="1:23" x14ac:dyDescent="0.25">
      <c r="A12" s="9" t="s">
        <v>71</v>
      </c>
      <c r="B12" s="10">
        <v>5</v>
      </c>
      <c r="C12" s="11">
        <f t="shared" si="0"/>
        <v>7.0422535211267609E-2</v>
      </c>
      <c r="D12" s="10">
        <v>12</v>
      </c>
      <c r="E12" s="11">
        <f t="shared" si="1"/>
        <v>0.06</v>
      </c>
      <c r="F12" s="10">
        <v>10</v>
      </c>
      <c r="G12" s="11">
        <f t="shared" si="2"/>
        <v>9.9009900990099015E-2</v>
      </c>
      <c r="H12" s="10">
        <v>16</v>
      </c>
      <c r="I12" s="11">
        <f t="shared" si="3"/>
        <v>8.98876404494382E-2</v>
      </c>
      <c r="J12" s="10">
        <v>8</v>
      </c>
      <c r="K12" s="11">
        <f t="shared" si="4"/>
        <v>4.790419161676647E-2</v>
      </c>
      <c r="L12" s="10">
        <v>12</v>
      </c>
      <c r="M12" s="11">
        <f t="shared" si="5"/>
        <v>9.4488188976377951E-2</v>
      </c>
      <c r="N12" s="10">
        <v>0</v>
      </c>
      <c r="O12" s="11">
        <f t="shared" si="6"/>
        <v>0</v>
      </c>
      <c r="P12" s="10">
        <v>11</v>
      </c>
      <c r="Q12" s="11">
        <f t="shared" si="7"/>
        <v>0.10280373831775701</v>
      </c>
      <c r="R12" s="10">
        <v>3</v>
      </c>
      <c r="S12" s="11">
        <f t="shared" si="8"/>
        <v>3.4482758620689655E-2</v>
      </c>
      <c r="T12" s="12">
        <v>6</v>
      </c>
      <c r="U12" s="11">
        <f t="shared" si="9"/>
        <v>6.8965517241379309E-2</v>
      </c>
      <c r="V12" s="12">
        <f t="shared" si="10"/>
        <v>83</v>
      </c>
      <c r="W12" s="11">
        <f t="shared" si="11"/>
        <v>7.1061643835616445E-2</v>
      </c>
    </row>
    <row r="13" spans="1:23" x14ac:dyDescent="0.25">
      <c r="A13" s="9" t="s">
        <v>72</v>
      </c>
      <c r="B13" s="10">
        <v>9</v>
      </c>
      <c r="C13" s="11">
        <f t="shared" si="0"/>
        <v>0.12676056338028169</v>
      </c>
      <c r="D13" s="10">
        <v>9</v>
      </c>
      <c r="E13" s="11">
        <f t="shared" si="1"/>
        <v>4.4999999999999998E-2</v>
      </c>
      <c r="F13" s="10">
        <v>13</v>
      </c>
      <c r="G13" s="11">
        <f t="shared" si="2"/>
        <v>0.12871287128712872</v>
      </c>
      <c r="H13" s="10">
        <v>18</v>
      </c>
      <c r="I13" s="11">
        <f t="shared" si="3"/>
        <v>0.10112359550561797</v>
      </c>
      <c r="J13" s="10">
        <v>12</v>
      </c>
      <c r="K13" s="11">
        <f t="shared" si="4"/>
        <v>7.1856287425149698E-2</v>
      </c>
      <c r="L13" s="10">
        <v>6</v>
      </c>
      <c r="M13" s="11">
        <f t="shared" si="5"/>
        <v>4.7244094488188976E-2</v>
      </c>
      <c r="N13" s="10">
        <v>0</v>
      </c>
      <c r="O13" s="11">
        <f t="shared" si="6"/>
        <v>0</v>
      </c>
      <c r="P13" s="10">
        <v>8</v>
      </c>
      <c r="Q13" s="11">
        <f t="shared" si="7"/>
        <v>7.476635514018691E-2</v>
      </c>
      <c r="R13" s="10">
        <v>12</v>
      </c>
      <c r="S13" s="11">
        <f t="shared" si="8"/>
        <v>0.13793103448275862</v>
      </c>
      <c r="T13" s="12">
        <v>13</v>
      </c>
      <c r="U13" s="11">
        <f t="shared" si="9"/>
        <v>0.14942528735632185</v>
      </c>
      <c r="V13" s="12">
        <f t="shared" si="10"/>
        <v>100</v>
      </c>
      <c r="W13" s="11">
        <f t="shared" si="11"/>
        <v>8.5616438356164379E-2</v>
      </c>
    </row>
    <row r="14" spans="1:23" x14ac:dyDescent="0.25">
      <c r="A14" s="9" t="s">
        <v>73</v>
      </c>
      <c r="B14" s="10">
        <v>10</v>
      </c>
      <c r="C14" s="11">
        <f t="shared" si="0"/>
        <v>0.14084507042253522</v>
      </c>
      <c r="D14" s="10">
        <v>9</v>
      </c>
      <c r="E14" s="11">
        <f t="shared" si="1"/>
        <v>4.4999999999999998E-2</v>
      </c>
      <c r="F14" s="10">
        <v>8</v>
      </c>
      <c r="G14" s="11">
        <f t="shared" si="2"/>
        <v>7.9207920792079209E-2</v>
      </c>
      <c r="H14" s="10">
        <v>20</v>
      </c>
      <c r="I14" s="11">
        <f t="shared" si="3"/>
        <v>0.11235955056179775</v>
      </c>
      <c r="J14" s="10">
        <v>10</v>
      </c>
      <c r="K14" s="11">
        <f t="shared" si="4"/>
        <v>5.9880239520958084E-2</v>
      </c>
      <c r="L14" s="10">
        <v>8</v>
      </c>
      <c r="M14" s="11">
        <f t="shared" si="5"/>
        <v>6.2992125984251968E-2</v>
      </c>
      <c r="N14" s="10">
        <v>0</v>
      </c>
      <c r="O14" s="11">
        <f t="shared" si="6"/>
        <v>0</v>
      </c>
      <c r="P14" s="10">
        <v>11</v>
      </c>
      <c r="Q14" s="11">
        <f t="shared" si="7"/>
        <v>0.10280373831775701</v>
      </c>
      <c r="R14" s="10">
        <v>4</v>
      </c>
      <c r="S14" s="11">
        <f t="shared" si="8"/>
        <v>4.5977011494252873E-2</v>
      </c>
      <c r="T14" s="12">
        <v>5</v>
      </c>
      <c r="U14" s="11">
        <f t="shared" si="9"/>
        <v>5.7471264367816091E-2</v>
      </c>
      <c r="V14" s="12">
        <f t="shared" si="10"/>
        <v>85</v>
      </c>
      <c r="W14" s="11">
        <f t="shared" si="11"/>
        <v>7.2773972602739725E-2</v>
      </c>
    </row>
    <row r="15" spans="1:23" x14ac:dyDescent="0.25">
      <c r="A15" s="9" t="s">
        <v>83</v>
      </c>
      <c r="B15" s="10">
        <v>5</v>
      </c>
      <c r="C15" s="11">
        <f t="shared" si="0"/>
        <v>7.0422535211267609E-2</v>
      </c>
      <c r="D15" s="10">
        <v>5</v>
      </c>
      <c r="E15" s="11">
        <f t="shared" si="1"/>
        <v>2.5000000000000001E-2</v>
      </c>
      <c r="F15" s="10">
        <v>18</v>
      </c>
      <c r="G15" s="11">
        <f t="shared" si="2"/>
        <v>0.17821782178217821</v>
      </c>
      <c r="H15" s="10">
        <v>24</v>
      </c>
      <c r="I15" s="11">
        <f t="shared" si="3"/>
        <v>0.1348314606741573</v>
      </c>
      <c r="J15" s="10">
        <v>5</v>
      </c>
      <c r="K15" s="11">
        <f t="shared" si="4"/>
        <v>2.9940119760479042E-2</v>
      </c>
      <c r="L15" s="10">
        <v>2</v>
      </c>
      <c r="M15" s="11">
        <f t="shared" si="5"/>
        <v>1.5748031496062992E-2</v>
      </c>
      <c r="N15" s="10">
        <v>0</v>
      </c>
      <c r="O15" s="11">
        <f t="shared" si="6"/>
        <v>0</v>
      </c>
      <c r="P15" s="10">
        <v>8</v>
      </c>
      <c r="Q15" s="11">
        <f t="shared" si="7"/>
        <v>7.476635514018691E-2</v>
      </c>
      <c r="R15" s="10">
        <v>4</v>
      </c>
      <c r="S15" s="11">
        <f t="shared" si="8"/>
        <v>4.5977011494252873E-2</v>
      </c>
      <c r="T15" s="12">
        <v>6</v>
      </c>
      <c r="U15" s="11">
        <f t="shared" si="9"/>
        <v>6.8965517241379309E-2</v>
      </c>
      <c r="V15" s="12">
        <f t="shared" si="10"/>
        <v>77</v>
      </c>
      <c r="W15" s="11">
        <f t="shared" si="11"/>
        <v>6.5924657534246575E-2</v>
      </c>
    </row>
    <row r="16" spans="1:23" x14ac:dyDescent="0.25">
      <c r="A16" s="9" t="s">
        <v>75</v>
      </c>
      <c r="B16" s="10">
        <v>4</v>
      </c>
      <c r="C16" s="11">
        <f t="shared" si="0"/>
        <v>5.6338028169014086E-2</v>
      </c>
      <c r="D16" s="10">
        <v>13</v>
      </c>
      <c r="E16" s="11">
        <f t="shared" si="1"/>
        <v>6.5000000000000002E-2</v>
      </c>
      <c r="F16" s="10">
        <v>12</v>
      </c>
      <c r="G16" s="11">
        <f t="shared" si="2"/>
        <v>0.11881188118811881</v>
      </c>
      <c r="H16" s="10">
        <v>11</v>
      </c>
      <c r="I16" s="11">
        <f t="shared" si="3"/>
        <v>6.1797752808988762E-2</v>
      </c>
      <c r="J16" s="10">
        <v>11</v>
      </c>
      <c r="K16" s="11">
        <f t="shared" si="4"/>
        <v>6.5868263473053898E-2</v>
      </c>
      <c r="L16" s="10">
        <v>8</v>
      </c>
      <c r="M16" s="11">
        <f t="shared" si="5"/>
        <v>6.2992125984251968E-2</v>
      </c>
      <c r="N16" s="10">
        <v>32</v>
      </c>
      <c r="O16" s="11">
        <f t="shared" si="6"/>
        <v>0.7441860465116279</v>
      </c>
      <c r="P16" s="10">
        <v>15</v>
      </c>
      <c r="Q16" s="11">
        <f t="shared" si="7"/>
        <v>0.14018691588785046</v>
      </c>
      <c r="R16" s="10">
        <v>3</v>
      </c>
      <c r="S16" s="11">
        <f t="shared" si="8"/>
        <v>3.4482758620689655E-2</v>
      </c>
      <c r="T16" s="12">
        <v>7</v>
      </c>
      <c r="U16" s="11">
        <f t="shared" si="9"/>
        <v>8.0459770114942528E-2</v>
      </c>
      <c r="V16" s="12">
        <f t="shared" si="10"/>
        <v>116</v>
      </c>
      <c r="W16" s="11">
        <f t="shared" si="11"/>
        <v>9.9315068493150679E-2</v>
      </c>
    </row>
    <row r="17" spans="1:23" x14ac:dyDescent="0.25">
      <c r="A17" s="13" t="s">
        <v>62</v>
      </c>
      <c r="B17" s="10">
        <v>6</v>
      </c>
      <c r="C17" s="11">
        <f t="shared" si="0"/>
        <v>8.4507042253521125E-2</v>
      </c>
      <c r="D17" s="10">
        <v>18</v>
      </c>
      <c r="E17" s="11">
        <f t="shared" si="1"/>
        <v>0.09</v>
      </c>
      <c r="F17" s="10">
        <v>8</v>
      </c>
      <c r="G17" s="11">
        <f t="shared" si="2"/>
        <v>7.9207920792079209E-2</v>
      </c>
      <c r="H17" s="10">
        <v>12</v>
      </c>
      <c r="I17" s="11">
        <f t="shared" si="3"/>
        <v>6.741573033707865E-2</v>
      </c>
      <c r="J17" s="10">
        <v>20</v>
      </c>
      <c r="K17" s="11">
        <f t="shared" si="4"/>
        <v>0.11976047904191617</v>
      </c>
      <c r="L17" s="10">
        <v>2</v>
      </c>
      <c r="M17" s="11">
        <f t="shared" si="5"/>
        <v>1.5748031496062992E-2</v>
      </c>
      <c r="N17" s="10">
        <v>3</v>
      </c>
      <c r="O17" s="11">
        <f t="shared" si="6"/>
        <v>6.9767441860465115E-2</v>
      </c>
      <c r="P17" s="10">
        <v>18</v>
      </c>
      <c r="Q17" s="11">
        <f t="shared" si="7"/>
        <v>0.16822429906542055</v>
      </c>
      <c r="R17" s="10">
        <v>8</v>
      </c>
      <c r="S17" s="11">
        <f t="shared" si="8"/>
        <v>9.1954022988505746E-2</v>
      </c>
      <c r="T17" s="12">
        <v>0</v>
      </c>
      <c r="U17" s="11">
        <f>T17/$T$20</f>
        <v>0</v>
      </c>
      <c r="V17" s="12">
        <f t="shared" si="10"/>
        <v>95</v>
      </c>
      <c r="W17" s="11">
        <f t="shared" si="11"/>
        <v>8.133561643835617E-2</v>
      </c>
    </row>
    <row r="18" spans="1:23" x14ac:dyDescent="0.25">
      <c r="A18" s="13" t="s">
        <v>63</v>
      </c>
      <c r="B18" s="10">
        <v>0</v>
      </c>
      <c r="C18" s="11">
        <f t="shared" si="0"/>
        <v>0</v>
      </c>
      <c r="D18" s="10">
        <v>18</v>
      </c>
      <c r="E18" s="11">
        <f t="shared" si="1"/>
        <v>0.09</v>
      </c>
      <c r="F18" s="10">
        <v>5</v>
      </c>
      <c r="G18" s="11">
        <f t="shared" si="2"/>
        <v>4.9504950495049507E-2</v>
      </c>
      <c r="H18" s="10">
        <v>9</v>
      </c>
      <c r="I18" s="11">
        <f t="shared" si="3"/>
        <v>5.0561797752808987E-2</v>
      </c>
      <c r="J18" s="10">
        <v>23</v>
      </c>
      <c r="K18" s="11">
        <f t="shared" si="4"/>
        <v>0.1377245508982036</v>
      </c>
      <c r="L18" s="10">
        <v>6</v>
      </c>
      <c r="M18" s="11">
        <f t="shared" si="5"/>
        <v>4.7244094488188976E-2</v>
      </c>
      <c r="N18" s="10">
        <v>4</v>
      </c>
      <c r="O18" s="11">
        <f t="shared" si="6"/>
        <v>9.3023255813953487E-2</v>
      </c>
      <c r="P18" s="10">
        <v>12</v>
      </c>
      <c r="Q18" s="11">
        <f t="shared" si="7"/>
        <v>0.11214953271028037</v>
      </c>
      <c r="R18" s="10">
        <v>1</v>
      </c>
      <c r="S18" s="11">
        <f t="shared" si="8"/>
        <v>1.1494252873563218E-2</v>
      </c>
      <c r="T18" s="12">
        <v>0</v>
      </c>
      <c r="U18" s="11">
        <f t="shared" ref="U18:U19" si="12">T18/$T$20</f>
        <v>0</v>
      </c>
      <c r="V18" s="12">
        <f t="shared" si="10"/>
        <v>78</v>
      </c>
      <c r="W18" s="11">
        <f t="shared" si="11"/>
        <v>6.6780821917808222E-2</v>
      </c>
    </row>
    <row r="19" spans="1:23" x14ac:dyDescent="0.25">
      <c r="A19" s="13" t="s">
        <v>64</v>
      </c>
      <c r="B19" s="10">
        <v>0</v>
      </c>
      <c r="C19" s="11">
        <f t="shared" si="0"/>
        <v>0</v>
      </c>
      <c r="D19" s="10">
        <v>3</v>
      </c>
      <c r="E19" s="11">
        <f t="shared" si="1"/>
        <v>1.4999999999999999E-2</v>
      </c>
      <c r="F19" s="10">
        <v>0</v>
      </c>
      <c r="G19" s="11">
        <f t="shared" si="2"/>
        <v>0</v>
      </c>
      <c r="H19" s="10">
        <v>3</v>
      </c>
      <c r="I19" s="11">
        <f t="shared" si="3"/>
        <v>1.6853932584269662E-2</v>
      </c>
      <c r="J19" s="10">
        <v>6</v>
      </c>
      <c r="K19" s="11">
        <f t="shared" si="4"/>
        <v>3.5928143712574849E-2</v>
      </c>
      <c r="L19" s="10">
        <v>7</v>
      </c>
      <c r="M19" s="11">
        <f t="shared" si="5"/>
        <v>5.5118110236220472E-2</v>
      </c>
      <c r="N19" s="10">
        <v>4</v>
      </c>
      <c r="O19" s="11">
        <f t="shared" si="6"/>
        <v>9.3023255813953487E-2</v>
      </c>
      <c r="P19" s="10">
        <v>2</v>
      </c>
      <c r="Q19" s="11">
        <f t="shared" si="7"/>
        <v>1.8691588785046728E-2</v>
      </c>
      <c r="R19" s="10">
        <v>2</v>
      </c>
      <c r="S19" s="11">
        <f t="shared" si="8"/>
        <v>2.2988505747126436E-2</v>
      </c>
      <c r="T19" s="12">
        <v>0</v>
      </c>
      <c r="U19" s="11">
        <f t="shared" si="12"/>
        <v>0</v>
      </c>
      <c r="V19" s="12">
        <f t="shared" si="10"/>
        <v>27</v>
      </c>
      <c r="W19" s="11">
        <f t="shared" si="11"/>
        <v>2.3116438356164382E-2</v>
      </c>
    </row>
    <row r="20" spans="1:23" x14ac:dyDescent="0.25">
      <c r="A20" s="25" t="s">
        <v>4</v>
      </c>
      <c r="B20" s="26">
        <f t="shared" ref="B20:U20" si="13">SUM(B8:B19)</f>
        <v>71</v>
      </c>
      <c r="C20" s="27">
        <f t="shared" si="13"/>
        <v>1</v>
      </c>
      <c r="D20" s="26">
        <f t="shared" si="13"/>
        <v>200</v>
      </c>
      <c r="E20" s="27">
        <f t="shared" si="13"/>
        <v>1</v>
      </c>
      <c r="F20" s="26">
        <f t="shared" si="13"/>
        <v>101</v>
      </c>
      <c r="G20" s="27">
        <f t="shared" si="13"/>
        <v>1</v>
      </c>
      <c r="H20" s="26">
        <f t="shared" si="13"/>
        <v>178</v>
      </c>
      <c r="I20" s="27">
        <f t="shared" si="13"/>
        <v>1</v>
      </c>
      <c r="J20" s="26">
        <f t="shared" si="13"/>
        <v>167</v>
      </c>
      <c r="K20" s="27">
        <f t="shared" si="13"/>
        <v>0.99999999999999978</v>
      </c>
      <c r="L20" s="26">
        <f t="shared" si="13"/>
        <v>127</v>
      </c>
      <c r="M20" s="27">
        <f t="shared" si="13"/>
        <v>1</v>
      </c>
      <c r="N20" s="26">
        <f t="shared" si="13"/>
        <v>43</v>
      </c>
      <c r="O20" s="27">
        <f t="shared" si="13"/>
        <v>1</v>
      </c>
      <c r="P20" s="26">
        <f t="shared" si="13"/>
        <v>107</v>
      </c>
      <c r="Q20" s="27">
        <f t="shared" si="13"/>
        <v>1</v>
      </c>
      <c r="R20" s="26">
        <f t="shared" si="13"/>
        <v>87</v>
      </c>
      <c r="S20" s="27">
        <f t="shared" si="13"/>
        <v>0.99999999999999967</v>
      </c>
      <c r="T20" s="23">
        <f t="shared" si="13"/>
        <v>87</v>
      </c>
      <c r="U20" s="27">
        <f t="shared" si="13"/>
        <v>1.0000000000000002</v>
      </c>
      <c r="V20" s="23">
        <f t="shared" ref="V20:W20" si="14">SUM(V8:V19)</f>
        <v>1168</v>
      </c>
      <c r="W20" s="27">
        <f t="shared" si="14"/>
        <v>1</v>
      </c>
    </row>
    <row r="21" spans="1:23" x14ac:dyDescent="0.25">
      <c r="A21" s="2"/>
      <c r="B21" s="3"/>
      <c r="C21" s="4"/>
      <c r="D21" s="3"/>
      <c r="E21" s="4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5"/>
      <c r="S21" s="4"/>
    </row>
    <row r="23" spans="1:23" ht="15.75" x14ac:dyDescent="0.25">
      <c r="A23" s="32" t="s">
        <v>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25">
      <c r="A24" s="33" t="s">
        <v>11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x14ac:dyDescent="0.25">
      <c r="A25" s="31" t="s">
        <v>87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x14ac:dyDescent="0.25">
      <c r="A26" s="38" t="s">
        <v>1</v>
      </c>
      <c r="B26" s="34" t="s">
        <v>2</v>
      </c>
      <c r="C26" s="37"/>
      <c r="D26" s="37"/>
      <c r="E26" s="37"/>
      <c r="F26" s="37"/>
      <c r="G26" s="37"/>
      <c r="H26" s="37"/>
      <c r="I26" s="35"/>
      <c r="J26" s="34" t="s">
        <v>3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5"/>
      <c r="V26" s="49" t="s">
        <v>4</v>
      </c>
      <c r="W26" s="50"/>
    </row>
    <row r="27" spans="1:23" x14ac:dyDescent="0.25">
      <c r="A27" s="39"/>
      <c r="B27" s="34" t="s">
        <v>5</v>
      </c>
      <c r="C27" s="35"/>
      <c r="D27" s="34" t="s">
        <v>6</v>
      </c>
      <c r="E27" s="35"/>
      <c r="F27" s="34" t="s">
        <v>7</v>
      </c>
      <c r="G27" s="35"/>
      <c r="H27" s="34" t="s">
        <v>8</v>
      </c>
      <c r="I27" s="35"/>
      <c r="J27" s="34" t="s">
        <v>77</v>
      </c>
      <c r="K27" s="35"/>
      <c r="L27" s="34" t="s">
        <v>78</v>
      </c>
      <c r="M27" s="35"/>
      <c r="N27" s="34" t="s">
        <v>90</v>
      </c>
      <c r="O27" s="35"/>
      <c r="P27" s="34" t="s">
        <v>79</v>
      </c>
      <c r="Q27" s="35"/>
      <c r="R27" s="34" t="s">
        <v>80</v>
      </c>
      <c r="S27" s="35"/>
      <c r="T27" s="41" t="s">
        <v>86</v>
      </c>
      <c r="U27" s="43"/>
      <c r="V27" s="51"/>
      <c r="W27" s="52"/>
    </row>
    <row r="28" spans="1:23" x14ac:dyDescent="0.25">
      <c r="A28" s="40"/>
      <c r="B28" s="23" t="s">
        <v>9</v>
      </c>
      <c r="C28" s="24" t="s">
        <v>10</v>
      </c>
      <c r="D28" s="23" t="s">
        <v>9</v>
      </c>
      <c r="E28" s="24" t="s">
        <v>10</v>
      </c>
      <c r="F28" s="23" t="s">
        <v>9</v>
      </c>
      <c r="G28" s="24" t="s">
        <v>10</v>
      </c>
      <c r="H28" s="23" t="s">
        <v>9</v>
      </c>
      <c r="I28" s="24" t="s">
        <v>10</v>
      </c>
      <c r="J28" s="23" t="s">
        <v>9</v>
      </c>
      <c r="K28" s="24" t="s">
        <v>10</v>
      </c>
      <c r="L28" s="23" t="s">
        <v>9</v>
      </c>
      <c r="M28" s="24" t="s">
        <v>10</v>
      </c>
      <c r="N28" s="23" t="s">
        <v>9</v>
      </c>
      <c r="O28" s="24" t="s">
        <v>10</v>
      </c>
      <c r="P28" s="23" t="s">
        <v>9</v>
      </c>
      <c r="Q28" s="24" t="s">
        <v>10</v>
      </c>
      <c r="R28" s="23" t="s">
        <v>9</v>
      </c>
      <c r="S28" s="24" t="s">
        <v>10</v>
      </c>
      <c r="T28" s="23" t="s">
        <v>9</v>
      </c>
      <c r="U28" s="24" t="s">
        <v>10</v>
      </c>
      <c r="V28" s="23" t="s">
        <v>9</v>
      </c>
      <c r="W28" s="24" t="s">
        <v>10</v>
      </c>
    </row>
    <row r="29" spans="1:23" x14ac:dyDescent="0.25">
      <c r="A29" s="9" t="s">
        <v>82</v>
      </c>
      <c r="B29" s="14">
        <f>74+46</f>
        <v>120</v>
      </c>
      <c r="C29" s="11">
        <f>B29/$B$41</f>
        <v>5.4669703872437359E-2</v>
      </c>
      <c r="D29" s="14">
        <f>398+330</f>
        <v>728</v>
      </c>
      <c r="E29" s="11">
        <f>D29/$D$41</f>
        <v>7.7028885832187075E-2</v>
      </c>
      <c r="F29" s="14">
        <v>28</v>
      </c>
      <c r="G29" s="11">
        <f>F29/$F$41</f>
        <v>1.0562052055827989E-2</v>
      </c>
      <c r="H29" s="14">
        <f>97+307</f>
        <v>404</v>
      </c>
      <c r="I29" s="11">
        <f>H29/$H$41</f>
        <v>3.4923928077455049E-2</v>
      </c>
      <c r="J29" s="14">
        <f>607+578</f>
        <v>1185</v>
      </c>
      <c r="K29" s="11">
        <f>J29/$J$41</f>
        <v>3.5293066476054326E-2</v>
      </c>
      <c r="L29" s="14">
        <f>147+114</f>
        <v>261</v>
      </c>
      <c r="M29" s="11">
        <f>L29/$L$41</f>
        <v>5.5793073963232152E-2</v>
      </c>
      <c r="N29" s="14">
        <v>0</v>
      </c>
      <c r="O29" s="11">
        <f>N29/$N$41</f>
        <v>0</v>
      </c>
      <c r="P29" s="14">
        <f>13+25</f>
        <v>38</v>
      </c>
      <c r="Q29" s="11">
        <f>P29/$P$41</f>
        <v>6.4145847400405133E-3</v>
      </c>
      <c r="R29" s="14">
        <f>128+225</f>
        <v>353</v>
      </c>
      <c r="S29" s="11">
        <f>R29/$R$41</f>
        <v>3.7613212573255193E-2</v>
      </c>
      <c r="T29" s="12">
        <f>169+114</f>
        <v>283</v>
      </c>
      <c r="U29" s="11">
        <f>T29/$T$41</f>
        <v>9.2092417832736737E-2</v>
      </c>
      <c r="V29" s="12">
        <f>B29+D29+F29+H29+J29+L29+N29+P29+R29+T29</f>
        <v>3400</v>
      </c>
      <c r="W29" s="11">
        <f>V29/$V$41</f>
        <v>4.0411724154325243E-2</v>
      </c>
    </row>
    <row r="30" spans="1:23" x14ac:dyDescent="0.25">
      <c r="A30" s="9" t="s">
        <v>68</v>
      </c>
      <c r="B30" s="14">
        <f>98+14</f>
        <v>112</v>
      </c>
      <c r="C30" s="11">
        <f t="shared" ref="C30:C40" si="15">B30/$B$41</f>
        <v>5.1025056947608199E-2</v>
      </c>
      <c r="D30" s="14">
        <f>393+312</f>
        <v>705</v>
      </c>
      <c r="E30" s="11">
        <f t="shared" ref="E30:E40" si="16">D30/$D$41</f>
        <v>7.4595280922653689E-2</v>
      </c>
      <c r="F30" s="14">
        <f>106+163</f>
        <v>269</v>
      </c>
      <c r="G30" s="11">
        <f t="shared" ref="G30:G40" si="17">F30/$F$41</f>
        <v>0.1014711429649189</v>
      </c>
      <c r="H30" s="14">
        <f>92+357</f>
        <v>449</v>
      </c>
      <c r="I30" s="11">
        <f t="shared" ref="I30:I40" si="18">H30/$H$41</f>
        <v>3.8813969571230983E-2</v>
      </c>
      <c r="J30" s="14">
        <f>577+448</f>
        <v>1025</v>
      </c>
      <c r="K30" s="11">
        <f t="shared" ref="K30:K40" si="19">J30/$J$41</f>
        <v>3.0527757922325472E-2</v>
      </c>
      <c r="L30" s="14">
        <f>372+365</f>
        <v>737</v>
      </c>
      <c r="M30" s="11">
        <f t="shared" ref="M30:M40" si="20">L30/$L$41</f>
        <v>0.15754595981188543</v>
      </c>
      <c r="N30" s="14">
        <v>0</v>
      </c>
      <c r="O30" s="11">
        <f t="shared" ref="O30:O40" si="21">N30/$N$41</f>
        <v>0</v>
      </c>
      <c r="P30" s="14">
        <f>85+50</f>
        <v>135</v>
      </c>
      <c r="Q30" s="11">
        <f t="shared" ref="Q30:Q40" si="22">P30/$P$41</f>
        <v>2.2788656313301823E-2</v>
      </c>
      <c r="R30" s="14">
        <f>415+616</f>
        <v>1031</v>
      </c>
      <c r="S30" s="11">
        <f t="shared" ref="S30:S40" si="23">R30/$R$41</f>
        <v>0.10985615343633458</v>
      </c>
      <c r="T30" s="12">
        <f>164+99</f>
        <v>263</v>
      </c>
      <c r="U30" s="11">
        <f t="shared" ref="U30:U40" si="24">T30/$T$41</f>
        <v>8.5584119752684679E-2</v>
      </c>
      <c r="V30" s="12">
        <f t="shared" ref="V30:V40" si="25">B30+D30+F30+H30+J30+L30+N30+P30+R30+T30</f>
        <v>4726</v>
      </c>
      <c r="W30" s="11">
        <f t="shared" ref="W30:W40" si="26">V30/$V$41</f>
        <v>5.6172296574512087E-2</v>
      </c>
    </row>
    <row r="31" spans="1:23" x14ac:dyDescent="0.25">
      <c r="A31" s="9" t="s">
        <v>69</v>
      </c>
      <c r="B31" s="14">
        <f>174+249</f>
        <v>423</v>
      </c>
      <c r="C31" s="11">
        <f t="shared" si="15"/>
        <v>0.19271070615034169</v>
      </c>
      <c r="D31" s="14">
        <f>425+301</f>
        <v>726</v>
      </c>
      <c r="E31" s="11">
        <f t="shared" si="16"/>
        <v>7.681726801396678E-2</v>
      </c>
      <c r="F31" s="14">
        <f>89+85</f>
        <v>174</v>
      </c>
      <c r="G31" s="11">
        <f t="shared" si="17"/>
        <v>6.5635609204073936E-2</v>
      </c>
      <c r="H31" s="14">
        <f>203+295</f>
        <v>498</v>
      </c>
      <c r="I31" s="11">
        <f t="shared" si="18"/>
        <v>4.3049792531120332E-2</v>
      </c>
      <c r="J31" s="14">
        <f>9330+2734</f>
        <v>12064</v>
      </c>
      <c r="K31" s="11">
        <f t="shared" si="19"/>
        <v>0.35930426495115558</v>
      </c>
      <c r="L31" s="14">
        <f>625+486</f>
        <v>1111</v>
      </c>
      <c r="M31" s="11">
        <f t="shared" si="20"/>
        <v>0.23749465583582727</v>
      </c>
      <c r="N31" s="14">
        <v>0</v>
      </c>
      <c r="O31" s="11">
        <f t="shared" si="21"/>
        <v>0</v>
      </c>
      <c r="P31" s="14">
        <f>115+242</f>
        <v>357</v>
      </c>
      <c r="Q31" s="11">
        <f t="shared" si="22"/>
        <v>6.0263335584064819E-2</v>
      </c>
      <c r="R31" s="14">
        <f>985+2999</f>
        <v>3984</v>
      </c>
      <c r="S31" s="11">
        <f t="shared" si="23"/>
        <v>0.42450719232818329</v>
      </c>
      <c r="T31" s="12">
        <f>317+356</f>
        <v>673</v>
      </c>
      <c r="U31" s="11">
        <f t="shared" si="24"/>
        <v>0.21900423039375203</v>
      </c>
      <c r="V31" s="12">
        <f t="shared" si="25"/>
        <v>20010</v>
      </c>
      <c r="W31" s="11">
        <f t="shared" si="26"/>
        <v>0.23783488244942591</v>
      </c>
    </row>
    <row r="32" spans="1:23" x14ac:dyDescent="0.25">
      <c r="A32" s="9" t="s">
        <v>70</v>
      </c>
      <c r="B32" s="10">
        <f>209+103</f>
        <v>312</v>
      </c>
      <c r="C32" s="11">
        <f t="shared" si="15"/>
        <v>0.14214123006833712</v>
      </c>
      <c r="D32" s="10">
        <f>836+727</f>
        <v>1563</v>
      </c>
      <c r="E32" s="11">
        <f t="shared" si="16"/>
        <v>0.16537932493915988</v>
      </c>
      <c r="F32" s="10">
        <f>79+83</f>
        <v>162</v>
      </c>
      <c r="G32" s="11">
        <f t="shared" si="17"/>
        <v>6.1109015465861942E-2</v>
      </c>
      <c r="H32" s="10">
        <f>176+338</f>
        <v>514</v>
      </c>
      <c r="I32" s="11">
        <f t="shared" si="18"/>
        <v>4.4432918395573999E-2</v>
      </c>
      <c r="J32" s="10">
        <f>648+399</f>
        <v>1047</v>
      </c>
      <c r="K32" s="11">
        <f t="shared" si="19"/>
        <v>3.1182987848463187E-2</v>
      </c>
      <c r="L32" s="10">
        <f>484+567</f>
        <v>1051</v>
      </c>
      <c r="M32" s="11">
        <f t="shared" si="20"/>
        <v>0.22466866182129114</v>
      </c>
      <c r="N32" s="10">
        <v>0</v>
      </c>
      <c r="O32" s="11">
        <f t="shared" si="21"/>
        <v>0</v>
      </c>
      <c r="P32" s="10">
        <f>120+308</f>
        <v>428</v>
      </c>
      <c r="Q32" s="11">
        <f t="shared" si="22"/>
        <v>7.2248480756245778E-2</v>
      </c>
      <c r="R32" s="10">
        <f>515+768</f>
        <v>1283</v>
      </c>
      <c r="S32" s="11">
        <f t="shared" si="23"/>
        <v>0.13670751198721365</v>
      </c>
      <c r="T32" s="12">
        <f>344+276</f>
        <v>620</v>
      </c>
      <c r="U32" s="11">
        <f t="shared" si="24"/>
        <v>0.20175724048161406</v>
      </c>
      <c r="V32" s="12">
        <f t="shared" si="25"/>
        <v>6980</v>
      </c>
      <c r="W32" s="11">
        <f t="shared" si="26"/>
        <v>8.2962892528585352E-2</v>
      </c>
    </row>
    <row r="33" spans="1:23" x14ac:dyDescent="0.25">
      <c r="A33" s="9" t="s">
        <v>71</v>
      </c>
      <c r="B33" s="10">
        <f>176+46</f>
        <v>222</v>
      </c>
      <c r="C33" s="11">
        <f t="shared" si="15"/>
        <v>0.10113895216400912</v>
      </c>
      <c r="D33" s="10">
        <f>241+320</f>
        <v>561</v>
      </c>
      <c r="E33" s="11">
        <f t="shared" si="16"/>
        <v>5.935879801079251E-2</v>
      </c>
      <c r="F33" s="10">
        <f>93+143</f>
        <v>236</v>
      </c>
      <c r="G33" s="11">
        <f t="shared" si="17"/>
        <v>8.902301018483591E-2</v>
      </c>
      <c r="H33" s="10">
        <f>95+476</f>
        <v>571</v>
      </c>
      <c r="I33" s="11">
        <f t="shared" si="18"/>
        <v>4.9360304287690178E-2</v>
      </c>
      <c r="J33" s="10">
        <f>222+219</f>
        <v>441</v>
      </c>
      <c r="K33" s="11">
        <f t="shared" si="19"/>
        <v>1.3134381701215154E-2</v>
      </c>
      <c r="L33" s="10">
        <f>257+220</f>
        <v>477</v>
      </c>
      <c r="M33" s="11">
        <f t="shared" si="20"/>
        <v>0.1019666524155622</v>
      </c>
      <c r="N33" s="10">
        <v>0</v>
      </c>
      <c r="O33" s="11">
        <f t="shared" si="21"/>
        <v>0</v>
      </c>
      <c r="P33" s="10">
        <f>192+268</f>
        <v>460</v>
      </c>
      <c r="Q33" s="11">
        <f t="shared" si="22"/>
        <v>7.7650236326806218E-2</v>
      </c>
      <c r="R33" s="10">
        <f>175+177</f>
        <v>352</v>
      </c>
      <c r="S33" s="11">
        <f t="shared" si="23"/>
        <v>3.7506659563132656E-2</v>
      </c>
      <c r="T33" s="12">
        <f>193+129</f>
        <v>322</v>
      </c>
      <c r="U33" s="11">
        <f t="shared" si="24"/>
        <v>0.10478359908883828</v>
      </c>
      <c r="V33" s="12">
        <f t="shared" si="25"/>
        <v>3642</v>
      </c>
      <c r="W33" s="11">
        <f t="shared" si="26"/>
        <v>4.3288088050015452E-2</v>
      </c>
    </row>
    <row r="34" spans="1:23" x14ac:dyDescent="0.25">
      <c r="A34" s="9" t="s">
        <v>72</v>
      </c>
      <c r="B34" s="10">
        <f>255+109</f>
        <v>364</v>
      </c>
      <c r="C34" s="11">
        <f t="shared" si="15"/>
        <v>0.16583143507972664</v>
      </c>
      <c r="D34" s="10">
        <f>99+84</f>
        <v>183</v>
      </c>
      <c r="E34" s="11">
        <f t="shared" si="16"/>
        <v>1.9363030367156916E-2</v>
      </c>
      <c r="F34" s="10">
        <f>71+157</f>
        <v>228</v>
      </c>
      <c r="G34" s="11">
        <f t="shared" si="17"/>
        <v>8.6005281026027919E-2</v>
      </c>
      <c r="H34" s="10">
        <f>271+522</f>
        <v>793</v>
      </c>
      <c r="I34" s="11">
        <f t="shared" si="18"/>
        <v>6.8551175656984792E-2</v>
      </c>
      <c r="J34" s="10">
        <f>319+271</f>
        <v>590</v>
      </c>
      <c r="K34" s="11">
        <f t="shared" si="19"/>
        <v>1.7572075291875149E-2</v>
      </c>
      <c r="L34" s="10">
        <f>50+90</f>
        <v>140</v>
      </c>
      <c r="M34" s="11">
        <f t="shared" si="20"/>
        <v>2.9927319367250963E-2</v>
      </c>
      <c r="N34" s="10">
        <v>0</v>
      </c>
      <c r="O34" s="11">
        <f t="shared" si="21"/>
        <v>0</v>
      </c>
      <c r="P34" s="10">
        <f>181+187</f>
        <v>368</v>
      </c>
      <c r="Q34" s="11">
        <f t="shared" si="22"/>
        <v>6.2120189061444966E-2</v>
      </c>
      <c r="R34" s="10">
        <f>346+636</f>
        <v>982</v>
      </c>
      <c r="S34" s="11">
        <f t="shared" si="23"/>
        <v>0.10463505594033032</v>
      </c>
      <c r="T34" s="12">
        <f>162+172</f>
        <v>334</v>
      </c>
      <c r="U34" s="11">
        <f t="shared" si="24"/>
        <v>0.10868857793686951</v>
      </c>
      <c r="V34" s="12">
        <f t="shared" si="25"/>
        <v>3982</v>
      </c>
      <c r="W34" s="11">
        <f t="shared" si="26"/>
        <v>4.7329260465447977E-2</v>
      </c>
    </row>
    <row r="35" spans="1:23" x14ac:dyDescent="0.25">
      <c r="A35" s="9" t="s">
        <v>73</v>
      </c>
      <c r="B35" s="10">
        <f>131+114</f>
        <v>245</v>
      </c>
      <c r="C35" s="11">
        <f t="shared" si="15"/>
        <v>0.11161731207289294</v>
      </c>
      <c r="D35" s="10">
        <f>171+114</f>
        <v>285</v>
      </c>
      <c r="E35" s="11">
        <f t="shared" si="16"/>
        <v>3.0155539096391917E-2</v>
      </c>
      <c r="F35" s="10">
        <f>64+164</f>
        <v>228</v>
      </c>
      <c r="G35" s="11">
        <f t="shared" si="17"/>
        <v>8.6005281026027919E-2</v>
      </c>
      <c r="H35" s="10">
        <f>385+688</f>
        <v>1073</v>
      </c>
      <c r="I35" s="11">
        <f t="shared" si="18"/>
        <v>9.2755878284923932E-2</v>
      </c>
      <c r="J35" s="10">
        <f>57+133</f>
        <v>190</v>
      </c>
      <c r="K35" s="11">
        <f t="shared" si="19"/>
        <v>5.6588039075530141E-3</v>
      </c>
      <c r="L35" s="10">
        <f>126+134</f>
        <v>260</v>
      </c>
      <c r="M35" s="11">
        <f t="shared" si="20"/>
        <v>5.5579307396323212E-2</v>
      </c>
      <c r="N35" s="10">
        <v>0</v>
      </c>
      <c r="O35" s="11">
        <f t="shared" si="21"/>
        <v>0</v>
      </c>
      <c r="P35" s="10">
        <f>250+257</f>
        <v>507</v>
      </c>
      <c r="Q35" s="11">
        <f t="shared" si="22"/>
        <v>8.5584064821066841E-2</v>
      </c>
      <c r="R35" s="10">
        <f>28+186</f>
        <v>214</v>
      </c>
      <c r="S35" s="11">
        <f t="shared" si="23"/>
        <v>2.2802344166222697E-2</v>
      </c>
      <c r="T35" s="12">
        <f>40+54</f>
        <v>94</v>
      </c>
      <c r="U35" s="11">
        <f t="shared" si="24"/>
        <v>3.0589000976244712E-2</v>
      </c>
      <c r="V35" s="12">
        <f t="shared" si="25"/>
        <v>3096</v>
      </c>
      <c r="W35" s="11">
        <f t="shared" si="26"/>
        <v>3.6798440582879691E-2</v>
      </c>
    </row>
    <row r="36" spans="1:23" x14ac:dyDescent="0.25">
      <c r="A36" s="9" t="s">
        <v>74</v>
      </c>
      <c r="B36" s="10">
        <f>83+30</f>
        <v>113</v>
      </c>
      <c r="C36" s="11">
        <f t="shared" si="15"/>
        <v>5.1480637813211848E-2</v>
      </c>
      <c r="D36" s="10">
        <f>105+57</f>
        <v>162</v>
      </c>
      <c r="E36" s="11">
        <f t="shared" si="16"/>
        <v>1.7141043275843825E-2</v>
      </c>
      <c r="F36" s="10">
        <f>192+324</f>
        <v>516</v>
      </c>
      <c r="G36" s="11">
        <f t="shared" si="17"/>
        <v>0.1946435307431158</v>
      </c>
      <c r="H36" s="10">
        <f>470+778</f>
        <v>1248</v>
      </c>
      <c r="I36" s="11">
        <f t="shared" si="18"/>
        <v>0.1078838174273859</v>
      </c>
      <c r="J36" s="10">
        <f>10+113</f>
        <v>123</v>
      </c>
      <c r="K36" s="11">
        <f t="shared" si="19"/>
        <v>3.6633309506790565E-3</v>
      </c>
      <c r="L36" s="10">
        <f>8+20</f>
        <v>28</v>
      </c>
      <c r="M36" s="11">
        <f t="shared" si="20"/>
        <v>5.9854638734501923E-3</v>
      </c>
      <c r="N36" s="10">
        <v>0</v>
      </c>
      <c r="O36" s="11">
        <f t="shared" si="21"/>
        <v>0</v>
      </c>
      <c r="P36" s="10">
        <f>84+260</f>
        <v>344</v>
      </c>
      <c r="Q36" s="11">
        <f t="shared" si="22"/>
        <v>5.8068872383524643E-2</v>
      </c>
      <c r="R36" s="10">
        <f>51+153</f>
        <v>204</v>
      </c>
      <c r="S36" s="11">
        <f t="shared" si="23"/>
        <v>2.1736814064997338E-2</v>
      </c>
      <c r="T36" s="12">
        <f>123+116</f>
        <v>239</v>
      </c>
      <c r="U36" s="11">
        <f t="shared" si="24"/>
        <v>7.7774162056622187E-2</v>
      </c>
      <c r="V36" s="12">
        <f t="shared" si="25"/>
        <v>2977</v>
      </c>
      <c r="W36" s="11">
        <f t="shared" si="26"/>
        <v>3.5384030237478312E-2</v>
      </c>
    </row>
    <row r="37" spans="1:23" x14ac:dyDescent="0.25">
      <c r="A37" s="9" t="s">
        <v>75</v>
      </c>
      <c r="B37" s="10">
        <f>35+107</f>
        <v>142</v>
      </c>
      <c r="C37" s="11">
        <f t="shared" si="15"/>
        <v>6.4692482915717539E-2</v>
      </c>
      <c r="D37" s="10">
        <f>224+250</f>
        <v>474</v>
      </c>
      <c r="E37" s="11">
        <f t="shared" si="16"/>
        <v>5.0153422918209713E-2</v>
      </c>
      <c r="F37" s="10">
        <f>169+126</f>
        <v>295</v>
      </c>
      <c r="G37" s="11">
        <f t="shared" si="17"/>
        <v>0.11127876273104489</v>
      </c>
      <c r="H37" s="10">
        <f>28+246</f>
        <v>274</v>
      </c>
      <c r="I37" s="11">
        <f t="shared" si="18"/>
        <v>2.3686030428769017E-2</v>
      </c>
      <c r="J37" s="10">
        <f>5108+4308</f>
        <v>9416</v>
      </c>
      <c r="K37" s="11">
        <f t="shared" si="19"/>
        <v>0.28043840838694306</v>
      </c>
      <c r="L37" s="10">
        <f>79+113</f>
        <v>192</v>
      </c>
      <c r="M37" s="11">
        <f t="shared" si="20"/>
        <v>4.1043180846515606E-2</v>
      </c>
      <c r="N37" s="10">
        <f>415+668</f>
        <v>1083</v>
      </c>
      <c r="O37" s="11">
        <f t="shared" si="21"/>
        <v>0.66319657072872018</v>
      </c>
      <c r="P37" s="10">
        <f>272+182</f>
        <v>454</v>
      </c>
      <c r="Q37" s="11">
        <f t="shared" si="22"/>
        <v>7.6637407157326129E-2</v>
      </c>
      <c r="R37" s="10">
        <f>37+122</f>
        <v>159</v>
      </c>
      <c r="S37" s="11">
        <f t="shared" si="23"/>
        <v>1.6941928609483219E-2</v>
      </c>
      <c r="T37" s="12">
        <f>154+91</f>
        <v>245</v>
      </c>
      <c r="U37" s="11">
        <f t="shared" si="24"/>
        <v>7.9726651480637817E-2</v>
      </c>
      <c r="V37" s="12">
        <f t="shared" si="25"/>
        <v>12734</v>
      </c>
      <c r="W37" s="11">
        <f t="shared" si="26"/>
        <v>0.15135379275916991</v>
      </c>
    </row>
    <row r="38" spans="1:23" x14ac:dyDescent="0.25">
      <c r="A38" s="13" t="s">
        <v>81</v>
      </c>
      <c r="B38" s="10">
        <f>122+20</f>
        <v>142</v>
      </c>
      <c r="C38" s="11">
        <f t="shared" si="15"/>
        <v>6.4692482915717539E-2</v>
      </c>
      <c r="D38" s="10">
        <f>375+325</f>
        <v>700</v>
      </c>
      <c r="E38" s="11">
        <f t="shared" si="16"/>
        <v>7.4066236377102954E-2</v>
      </c>
      <c r="F38" s="10">
        <f>70+244</f>
        <v>314</v>
      </c>
      <c r="G38" s="11">
        <f t="shared" si="17"/>
        <v>0.11844586948321388</v>
      </c>
      <c r="H38" s="10">
        <f>2633+2669</f>
        <v>5302</v>
      </c>
      <c r="I38" s="11">
        <f t="shared" si="18"/>
        <v>0.45833333333333331</v>
      </c>
      <c r="J38" s="10">
        <f>676+511</f>
        <v>1187</v>
      </c>
      <c r="K38" s="11">
        <f t="shared" si="19"/>
        <v>3.5352632832975933E-2</v>
      </c>
      <c r="L38" s="10">
        <v>50</v>
      </c>
      <c r="M38" s="11">
        <f t="shared" si="20"/>
        <v>1.0688328345446772E-2</v>
      </c>
      <c r="N38" s="10">
        <f>93+68</f>
        <v>161</v>
      </c>
      <c r="O38" s="11">
        <f t="shared" si="21"/>
        <v>9.8591549295774641E-2</v>
      </c>
      <c r="P38" s="10">
        <f>544+963</f>
        <v>1507</v>
      </c>
      <c r="Q38" s="11">
        <f t="shared" si="22"/>
        <v>0.25438892640108035</v>
      </c>
      <c r="R38" s="10">
        <f>258+397</f>
        <v>655</v>
      </c>
      <c r="S38" s="11">
        <f t="shared" si="23"/>
        <v>6.9792221630261053E-2</v>
      </c>
      <c r="T38" s="12">
        <v>0</v>
      </c>
      <c r="U38" s="11">
        <f t="shared" si="24"/>
        <v>0</v>
      </c>
      <c r="V38" s="12">
        <f t="shared" si="25"/>
        <v>10018</v>
      </c>
      <c r="W38" s="11">
        <f t="shared" si="26"/>
        <v>0.11907195664059714</v>
      </c>
    </row>
    <row r="39" spans="1:23" x14ac:dyDescent="0.25">
      <c r="A39" s="13" t="s">
        <v>63</v>
      </c>
      <c r="B39" s="10">
        <v>0</v>
      </c>
      <c r="C39" s="11">
        <f t="shared" si="15"/>
        <v>0</v>
      </c>
      <c r="D39" s="10">
        <f>1901+1333</f>
        <v>3234</v>
      </c>
      <c r="E39" s="11">
        <f t="shared" si="16"/>
        <v>0.34218601206221566</v>
      </c>
      <c r="F39" s="10">
        <f>62+139</f>
        <v>201</v>
      </c>
      <c r="G39" s="11">
        <f t="shared" si="17"/>
        <v>7.5820445115050927E-2</v>
      </c>
      <c r="H39" s="10">
        <f>118+201</f>
        <v>319</v>
      </c>
      <c r="I39" s="11">
        <f t="shared" si="18"/>
        <v>2.7576071922544951E-2</v>
      </c>
      <c r="J39" s="10">
        <f>1808+1800</f>
        <v>3608</v>
      </c>
      <c r="K39" s="11">
        <f t="shared" si="19"/>
        <v>0.10745770788658565</v>
      </c>
      <c r="L39" s="10">
        <f>79+69</f>
        <v>148</v>
      </c>
      <c r="M39" s="11">
        <f t="shared" si="20"/>
        <v>3.1637451902522443E-2</v>
      </c>
      <c r="N39" s="10">
        <f>141+95</f>
        <v>236</v>
      </c>
      <c r="O39" s="11">
        <f t="shared" si="21"/>
        <v>0.14451928965094918</v>
      </c>
      <c r="P39" s="10">
        <f>748+358</f>
        <v>1106</v>
      </c>
      <c r="Q39" s="11">
        <f t="shared" si="22"/>
        <v>0.18669817690749493</v>
      </c>
      <c r="R39" s="10">
        <f>59+26</f>
        <v>85</v>
      </c>
      <c r="S39" s="11">
        <f t="shared" si="23"/>
        <v>9.0570058604155564E-3</v>
      </c>
      <c r="T39" s="12">
        <v>0</v>
      </c>
      <c r="U39" s="11">
        <f t="shared" si="24"/>
        <v>0</v>
      </c>
      <c r="V39" s="12">
        <f t="shared" si="25"/>
        <v>8937</v>
      </c>
      <c r="W39" s="11">
        <f t="shared" si="26"/>
        <v>0.10622340551976608</v>
      </c>
    </row>
    <row r="40" spans="1:23" x14ac:dyDescent="0.25">
      <c r="A40" s="13" t="s">
        <v>64</v>
      </c>
      <c r="B40" s="10">
        <v>0</v>
      </c>
      <c r="C40" s="11">
        <f t="shared" si="15"/>
        <v>0</v>
      </c>
      <c r="D40" s="10">
        <f>61+69</f>
        <v>130</v>
      </c>
      <c r="E40" s="11">
        <f t="shared" si="16"/>
        <v>1.3755158184319119E-2</v>
      </c>
      <c r="F40" s="10">
        <v>0</v>
      </c>
      <c r="G40" s="11">
        <f t="shared" si="17"/>
        <v>0</v>
      </c>
      <c r="H40" s="10">
        <f>45+78</f>
        <v>123</v>
      </c>
      <c r="I40" s="11">
        <f t="shared" si="18"/>
        <v>1.0632780082987552E-2</v>
      </c>
      <c r="J40" s="10">
        <f>1618+1082</f>
        <v>2700</v>
      </c>
      <c r="K40" s="11">
        <f t="shared" si="19"/>
        <v>8.041458184417441E-2</v>
      </c>
      <c r="L40" s="10">
        <f>106+117</f>
        <v>223</v>
      </c>
      <c r="M40" s="11">
        <f t="shared" si="20"/>
        <v>4.7669944420692605E-2</v>
      </c>
      <c r="N40" s="10">
        <f>74+79</f>
        <v>153</v>
      </c>
      <c r="O40" s="11">
        <f t="shared" si="21"/>
        <v>9.3692590324556027E-2</v>
      </c>
      <c r="P40" s="10">
        <f>133+87</f>
        <v>220</v>
      </c>
      <c r="Q40" s="11">
        <f t="shared" si="22"/>
        <v>3.7137069547602972E-2</v>
      </c>
      <c r="R40" s="10">
        <f>20+63</f>
        <v>83</v>
      </c>
      <c r="S40" s="11">
        <f t="shared" si="23"/>
        <v>8.8438998401704841E-3</v>
      </c>
      <c r="T40" s="12">
        <v>0</v>
      </c>
      <c r="U40" s="11">
        <f t="shared" si="24"/>
        <v>0</v>
      </c>
      <c r="V40" s="12">
        <f t="shared" si="25"/>
        <v>3632</v>
      </c>
      <c r="W40" s="11">
        <f t="shared" si="26"/>
        <v>4.3169230037796845E-2</v>
      </c>
    </row>
    <row r="41" spans="1:23" x14ac:dyDescent="0.25">
      <c r="A41" s="25" t="s">
        <v>4</v>
      </c>
      <c r="B41" s="26">
        <f t="shared" ref="B41:U41" si="27">SUM(B29:B40)</f>
        <v>2195</v>
      </c>
      <c r="C41" s="27">
        <f t="shared" si="27"/>
        <v>1</v>
      </c>
      <c r="D41" s="26">
        <f t="shared" si="27"/>
        <v>9451</v>
      </c>
      <c r="E41" s="27">
        <f t="shared" si="27"/>
        <v>1</v>
      </c>
      <c r="F41" s="26">
        <f t="shared" si="27"/>
        <v>2651</v>
      </c>
      <c r="G41" s="27">
        <f t="shared" si="27"/>
        <v>1</v>
      </c>
      <c r="H41" s="26">
        <f t="shared" si="27"/>
        <v>11568</v>
      </c>
      <c r="I41" s="27">
        <f t="shared" si="27"/>
        <v>0.99999999999999989</v>
      </c>
      <c r="J41" s="26">
        <f t="shared" si="27"/>
        <v>33576</v>
      </c>
      <c r="K41" s="27">
        <f t="shared" si="27"/>
        <v>1</v>
      </c>
      <c r="L41" s="26">
        <f t="shared" si="27"/>
        <v>4678</v>
      </c>
      <c r="M41" s="27">
        <f t="shared" si="27"/>
        <v>1</v>
      </c>
      <c r="N41" s="26">
        <f t="shared" si="27"/>
        <v>1633</v>
      </c>
      <c r="O41" s="27">
        <f t="shared" si="27"/>
        <v>1</v>
      </c>
      <c r="P41" s="26">
        <f t="shared" si="27"/>
        <v>5924</v>
      </c>
      <c r="Q41" s="27">
        <f t="shared" si="27"/>
        <v>1</v>
      </c>
      <c r="R41" s="26">
        <f t="shared" si="27"/>
        <v>9385</v>
      </c>
      <c r="S41" s="27">
        <f t="shared" si="27"/>
        <v>1.0000000000000002</v>
      </c>
      <c r="T41" s="23">
        <f t="shared" si="27"/>
        <v>3073</v>
      </c>
      <c r="U41" s="27">
        <f t="shared" si="27"/>
        <v>1</v>
      </c>
      <c r="V41" s="23">
        <f t="shared" ref="V41:W41" si="28">SUM(V29:V40)</f>
        <v>84134</v>
      </c>
      <c r="W41" s="27">
        <f t="shared" si="28"/>
        <v>0.99999999999999989</v>
      </c>
    </row>
    <row r="42" spans="1:23" x14ac:dyDescent="0.25">
      <c r="A42" s="2"/>
      <c r="B42" s="3"/>
      <c r="C42" s="6"/>
      <c r="D42" s="7"/>
      <c r="E42" s="6"/>
      <c r="F42" s="3"/>
      <c r="G42" s="6"/>
      <c r="H42" s="7"/>
      <c r="I42" s="6"/>
      <c r="J42" s="7"/>
      <c r="K42" s="6"/>
      <c r="L42" s="7"/>
      <c r="M42" s="6"/>
      <c r="N42" s="3"/>
      <c r="O42" s="6"/>
      <c r="P42" s="3"/>
      <c r="Q42" s="6"/>
      <c r="R42" s="8"/>
      <c r="S42" s="6"/>
    </row>
    <row r="43" spans="1:23" s="53" customFormat="1" x14ac:dyDescent="0.25"/>
    <row r="44" spans="1:23" ht="15.75" x14ac:dyDescent="0.25">
      <c r="A44" s="29" t="s">
        <v>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30" t="s">
        <v>12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25">
      <c r="A46" s="31" t="s">
        <v>87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38" t="s">
        <v>88</v>
      </c>
      <c r="B47" s="34" t="s">
        <v>2</v>
      </c>
      <c r="C47" s="37"/>
      <c r="D47" s="37"/>
      <c r="E47" s="37"/>
      <c r="F47" s="37"/>
      <c r="G47" s="37"/>
      <c r="H47" s="37"/>
      <c r="I47" s="35"/>
      <c r="J47" s="34" t="s">
        <v>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5"/>
      <c r="V47" s="49" t="s">
        <v>4</v>
      </c>
      <c r="W47" s="50"/>
    </row>
    <row r="48" spans="1:23" x14ac:dyDescent="0.25">
      <c r="A48" s="39"/>
      <c r="B48" s="34" t="s">
        <v>5</v>
      </c>
      <c r="C48" s="35"/>
      <c r="D48" s="34" t="s">
        <v>6</v>
      </c>
      <c r="E48" s="35"/>
      <c r="F48" s="34" t="s">
        <v>7</v>
      </c>
      <c r="G48" s="35"/>
      <c r="H48" s="34" t="s">
        <v>8</v>
      </c>
      <c r="I48" s="35"/>
      <c r="J48" s="34" t="s">
        <v>77</v>
      </c>
      <c r="K48" s="35"/>
      <c r="L48" s="34" t="s">
        <v>78</v>
      </c>
      <c r="M48" s="35"/>
      <c r="N48" s="34" t="s">
        <v>90</v>
      </c>
      <c r="O48" s="35"/>
      <c r="P48" s="34" t="s">
        <v>79</v>
      </c>
      <c r="Q48" s="35"/>
      <c r="R48" s="34" t="s">
        <v>80</v>
      </c>
      <c r="S48" s="35"/>
      <c r="T48" s="41" t="s">
        <v>86</v>
      </c>
      <c r="U48" s="43"/>
      <c r="V48" s="51"/>
      <c r="W48" s="52"/>
    </row>
    <row r="49" spans="1:23" x14ac:dyDescent="0.25">
      <c r="A49" s="40"/>
      <c r="B49" s="23" t="s">
        <v>9</v>
      </c>
      <c r="C49" s="24" t="s">
        <v>10</v>
      </c>
      <c r="D49" s="23" t="s">
        <v>9</v>
      </c>
      <c r="E49" s="24" t="s">
        <v>10</v>
      </c>
      <c r="F49" s="23" t="s">
        <v>9</v>
      </c>
      <c r="G49" s="24" t="s">
        <v>10</v>
      </c>
      <c r="H49" s="23" t="s">
        <v>9</v>
      </c>
      <c r="I49" s="24" t="s">
        <v>10</v>
      </c>
      <c r="J49" s="23" t="s">
        <v>9</v>
      </c>
      <c r="K49" s="24" t="s">
        <v>10</v>
      </c>
      <c r="L49" s="23" t="s">
        <v>9</v>
      </c>
      <c r="M49" s="24" t="s">
        <v>10</v>
      </c>
      <c r="N49" s="23" t="s">
        <v>9</v>
      </c>
      <c r="O49" s="24" t="s">
        <v>10</v>
      </c>
      <c r="P49" s="23" t="s">
        <v>9</v>
      </c>
      <c r="Q49" s="24" t="s">
        <v>10</v>
      </c>
      <c r="R49" s="23" t="s">
        <v>9</v>
      </c>
      <c r="S49" s="24" t="s">
        <v>10</v>
      </c>
      <c r="T49" s="23" t="s">
        <v>9</v>
      </c>
      <c r="U49" s="24" t="s">
        <v>10</v>
      </c>
      <c r="V49" s="23" t="s">
        <v>9</v>
      </c>
      <c r="W49" s="24" t="s">
        <v>10</v>
      </c>
    </row>
    <row r="50" spans="1:23" x14ac:dyDescent="0.25">
      <c r="A50" s="15" t="s">
        <v>13</v>
      </c>
      <c r="B50" s="16">
        <v>0</v>
      </c>
      <c r="C50" s="11">
        <f t="shared" ref="C50:C70" si="29">B50/$B$71</f>
        <v>0</v>
      </c>
      <c r="D50" s="16">
        <v>0</v>
      </c>
      <c r="E50" s="11">
        <f t="shared" ref="E50:E70" si="30">D50/$D$71</f>
        <v>0</v>
      </c>
      <c r="F50" s="16">
        <v>0</v>
      </c>
      <c r="G50" s="11">
        <f t="shared" ref="G50:G70" si="31">F50/$F$71</f>
        <v>0</v>
      </c>
      <c r="H50" s="16">
        <v>0</v>
      </c>
      <c r="I50" s="11">
        <f t="shared" ref="I50:I70" si="32">H50/$H$71</f>
        <v>0</v>
      </c>
      <c r="J50" s="16">
        <v>0</v>
      </c>
      <c r="K50" s="11">
        <f t="shared" ref="K50:K70" si="33">J50/$J$71</f>
        <v>0</v>
      </c>
      <c r="L50" s="16">
        <v>0</v>
      </c>
      <c r="M50" s="11">
        <f t="shared" ref="M50:M70" si="34">L50/$L$71</f>
        <v>0</v>
      </c>
      <c r="N50" s="16">
        <v>0</v>
      </c>
      <c r="O50" s="11">
        <f t="shared" ref="O50:O70" si="35">N50/$N$71</f>
        <v>0</v>
      </c>
      <c r="P50" s="16">
        <v>0</v>
      </c>
      <c r="Q50" s="11">
        <f t="shared" ref="Q50:Q70" si="36">P50/$P$71</f>
        <v>0</v>
      </c>
      <c r="R50" s="17">
        <v>0</v>
      </c>
      <c r="S50" s="11">
        <f t="shared" ref="S50:S70" si="37">R50/$R$71</f>
        <v>0</v>
      </c>
      <c r="T50" s="12">
        <v>0</v>
      </c>
      <c r="U50" s="11">
        <f t="shared" ref="U50:U70" si="38">T50/$T$71</f>
        <v>0</v>
      </c>
      <c r="V50" s="12">
        <f>B50+D50+F50+H50+J50+L50+N50+P50+R50+T50</f>
        <v>0</v>
      </c>
      <c r="W50" s="11">
        <f>V50/$V$71</f>
        <v>0</v>
      </c>
    </row>
    <row r="51" spans="1:23" x14ac:dyDescent="0.25">
      <c r="A51" s="15" t="s">
        <v>60</v>
      </c>
      <c r="B51" s="16">
        <v>2</v>
      </c>
      <c r="C51" s="11">
        <f t="shared" si="29"/>
        <v>2.8169014084507043E-2</v>
      </c>
      <c r="D51" s="16">
        <v>0</v>
      </c>
      <c r="E51" s="11">
        <f t="shared" si="30"/>
        <v>0</v>
      </c>
      <c r="F51" s="16">
        <v>0</v>
      </c>
      <c r="G51" s="11">
        <f t="shared" si="31"/>
        <v>0</v>
      </c>
      <c r="H51" s="16">
        <v>0</v>
      </c>
      <c r="I51" s="11">
        <f t="shared" si="32"/>
        <v>0</v>
      </c>
      <c r="J51" s="16">
        <v>0</v>
      </c>
      <c r="K51" s="11">
        <f t="shared" si="33"/>
        <v>0</v>
      </c>
      <c r="L51" s="16">
        <v>0</v>
      </c>
      <c r="M51" s="11">
        <f t="shared" si="34"/>
        <v>0</v>
      </c>
      <c r="N51" s="16">
        <v>0</v>
      </c>
      <c r="O51" s="11">
        <f t="shared" si="35"/>
        <v>0</v>
      </c>
      <c r="P51" s="16">
        <v>0</v>
      </c>
      <c r="Q51" s="11">
        <f t="shared" si="36"/>
        <v>0</v>
      </c>
      <c r="R51" s="17">
        <v>0</v>
      </c>
      <c r="S51" s="11">
        <f t="shared" si="37"/>
        <v>0</v>
      </c>
      <c r="T51" s="12">
        <v>0</v>
      </c>
      <c r="U51" s="11">
        <f t="shared" si="38"/>
        <v>0</v>
      </c>
      <c r="V51" s="12">
        <f t="shared" ref="V51:V70" si="39">B51+D51+F51+H51+J51+L51+N51+P51+R51+T51</f>
        <v>2</v>
      </c>
      <c r="W51" s="11">
        <f t="shared" ref="W51:W70" si="40">V51/$V$71</f>
        <v>1.7123287671232876E-3</v>
      </c>
    </row>
    <row r="52" spans="1:23" x14ac:dyDescent="0.25">
      <c r="A52" s="15" t="s">
        <v>14</v>
      </c>
      <c r="B52" s="16">
        <v>50</v>
      </c>
      <c r="C52" s="11">
        <f t="shared" si="29"/>
        <v>0.70422535211267601</v>
      </c>
      <c r="D52" s="16">
        <v>134</v>
      </c>
      <c r="E52" s="11">
        <f t="shared" si="30"/>
        <v>0.67</v>
      </c>
      <c r="F52" s="16">
        <v>81</v>
      </c>
      <c r="G52" s="11">
        <f t="shared" si="31"/>
        <v>0.80198019801980203</v>
      </c>
      <c r="H52" s="16">
        <v>97</v>
      </c>
      <c r="I52" s="11">
        <f t="shared" si="32"/>
        <v>0.5449438202247191</v>
      </c>
      <c r="J52" s="16">
        <v>122</v>
      </c>
      <c r="K52" s="11">
        <f t="shared" si="33"/>
        <v>0.73053892215568861</v>
      </c>
      <c r="L52" s="16">
        <v>79</v>
      </c>
      <c r="M52" s="11">
        <f t="shared" si="34"/>
        <v>0.62204724409448819</v>
      </c>
      <c r="N52" s="16">
        <v>41</v>
      </c>
      <c r="O52" s="11">
        <f t="shared" si="35"/>
        <v>0.95348837209302328</v>
      </c>
      <c r="P52" s="16">
        <v>59</v>
      </c>
      <c r="Q52" s="11">
        <f t="shared" si="36"/>
        <v>0.55140186915887845</v>
      </c>
      <c r="R52" s="17">
        <v>67</v>
      </c>
      <c r="S52" s="11">
        <f t="shared" si="37"/>
        <v>0.77011494252873558</v>
      </c>
      <c r="T52" s="12">
        <v>81</v>
      </c>
      <c r="U52" s="11">
        <f t="shared" si="38"/>
        <v>0.93103448275862066</v>
      </c>
      <c r="V52" s="12">
        <f t="shared" si="39"/>
        <v>811</v>
      </c>
      <c r="W52" s="11">
        <f t="shared" si="40"/>
        <v>0.69434931506849318</v>
      </c>
    </row>
    <row r="53" spans="1:23" x14ac:dyDescent="0.25">
      <c r="A53" s="15" t="s">
        <v>15</v>
      </c>
      <c r="B53" s="16">
        <v>0</v>
      </c>
      <c r="C53" s="11">
        <f t="shared" si="29"/>
        <v>0</v>
      </c>
      <c r="D53" s="16">
        <v>0</v>
      </c>
      <c r="E53" s="11">
        <f t="shared" si="30"/>
        <v>0</v>
      </c>
      <c r="F53" s="16">
        <v>0</v>
      </c>
      <c r="G53" s="11">
        <f t="shared" si="31"/>
        <v>0</v>
      </c>
      <c r="H53" s="16">
        <v>0</v>
      </c>
      <c r="I53" s="11">
        <f t="shared" si="32"/>
        <v>0</v>
      </c>
      <c r="J53" s="16">
        <v>0</v>
      </c>
      <c r="K53" s="11">
        <f t="shared" si="33"/>
        <v>0</v>
      </c>
      <c r="L53" s="16">
        <v>0</v>
      </c>
      <c r="M53" s="11">
        <f t="shared" si="34"/>
        <v>0</v>
      </c>
      <c r="N53" s="16">
        <v>0</v>
      </c>
      <c r="O53" s="11">
        <f t="shared" si="35"/>
        <v>0</v>
      </c>
      <c r="P53" s="16">
        <v>0</v>
      </c>
      <c r="Q53" s="11">
        <f t="shared" si="36"/>
        <v>0</v>
      </c>
      <c r="R53" s="17">
        <v>0</v>
      </c>
      <c r="S53" s="11">
        <f t="shared" si="37"/>
        <v>0</v>
      </c>
      <c r="T53" s="12">
        <v>0</v>
      </c>
      <c r="U53" s="11">
        <f t="shared" si="38"/>
        <v>0</v>
      </c>
      <c r="V53" s="12">
        <f t="shared" si="39"/>
        <v>0</v>
      </c>
      <c r="W53" s="11">
        <f t="shared" si="40"/>
        <v>0</v>
      </c>
    </row>
    <row r="54" spans="1:23" x14ac:dyDescent="0.25">
      <c r="A54" s="15" t="s">
        <v>16</v>
      </c>
      <c r="B54" s="16">
        <v>0</v>
      </c>
      <c r="C54" s="11">
        <f t="shared" si="29"/>
        <v>0</v>
      </c>
      <c r="D54" s="16">
        <v>0</v>
      </c>
      <c r="E54" s="11">
        <f t="shared" si="30"/>
        <v>0</v>
      </c>
      <c r="F54" s="16">
        <v>0</v>
      </c>
      <c r="G54" s="11">
        <f t="shared" si="31"/>
        <v>0</v>
      </c>
      <c r="H54" s="16">
        <v>0</v>
      </c>
      <c r="I54" s="11">
        <f t="shared" si="32"/>
        <v>0</v>
      </c>
      <c r="J54" s="16">
        <v>0</v>
      </c>
      <c r="K54" s="11">
        <f t="shared" si="33"/>
        <v>0</v>
      </c>
      <c r="L54" s="16">
        <v>0</v>
      </c>
      <c r="M54" s="11">
        <f t="shared" si="34"/>
        <v>0</v>
      </c>
      <c r="N54" s="16">
        <v>0</v>
      </c>
      <c r="O54" s="11">
        <f t="shared" si="35"/>
        <v>0</v>
      </c>
      <c r="P54" s="16">
        <v>0</v>
      </c>
      <c r="Q54" s="11">
        <f t="shared" si="36"/>
        <v>0</v>
      </c>
      <c r="R54" s="17">
        <v>0</v>
      </c>
      <c r="S54" s="11">
        <f t="shared" si="37"/>
        <v>0</v>
      </c>
      <c r="T54" s="12">
        <v>0</v>
      </c>
      <c r="U54" s="11">
        <f t="shared" si="38"/>
        <v>0</v>
      </c>
      <c r="V54" s="12">
        <f t="shared" si="39"/>
        <v>0</v>
      </c>
      <c r="W54" s="11">
        <f t="shared" si="40"/>
        <v>0</v>
      </c>
    </row>
    <row r="55" spans="1:23" x14ac:dyDescent="0.25">
      <c r="A55" s="15" t="s">
        <v>17</v>
      </c>
      <c r="B55" s="16">
        <v>0</v>
      </c>
      <c r="C55" s="11">
        <f t="shared" si="29"/>
        <v>0</v>
      </c>
      <c r="D55" s="16">
        <v>0</v>
      </c>
      <c r="E55" s="11">
        <f t="shared" si="30"/>
        <v>0</v>
      </c>
      <c r="F55" s="16">
        <v>0</v>
      </c>
      <c r="G55" s="11">
        <f t="shared" si="31"/>
        <v>0</v>
      </c>
      <c r="H55" s="16">
        <v>0</v>
      </c>
      <c r="I55" s="11">
        <f t="shared" si="32"/>
        <v>0</v>
      </c>
      <c r="J55" s="16">
        <v>0</v>
      </c>
      <c r="K55" s="11">
        <f t="shared" si="33"/>
        <v>0</v>
      </c>
      <c r="L55" s="16">
        <v>0</v>
      </c>
      <c r="M55" s="11">
        <f t="shared" si="34"/>
        <v>0</v>
      </c>
      <c r="N55" s="16">
        <v>0</v>
      </c>
      <c r="O55" s="11">
        <f t="shared" si="35"/>
        <v>0</v>
      </c>
      <c r="P55" s="16">
        <v>0</v>
      </c>
      <c r="Q55" s="11">
        <f t="shared" si="36"/>
        <v>0</v>
      </c>
      <c r="R55" s="17">
        <v>0</v>
      </c>
      <c r="S55" s="11">
        <f t="shared" si="37"/>
        <v>0</v>
      </c>
      <c r="T55" s="12">
        <v>0</v>
      </c>
      <c r="U55" s="11">
        <f t="shared" si="38"/>
        <v>0</v>
      </c>
      <c r="V55" s="12">
        <f t="shared" si="39"/>
        <v>0</v>
      </c>
      <c r="W55" s="11">
        <f t="shared" si="40"/>
        <v>0</v>
      </c>
    </row>
    <row r="56" spans="1:23" x14ac:dyDescent="0.25">
      <c r="A56" s="15" t="s">
        <v>18</v>
      </c>
      <c r="B56" s="16">
        <v>0</v>
      </c>
      <c r="C56" s="11">
        <f t="shared" si="29"/>
        <v>0</v>
      </c>
      <c r="D56" s="16">
        <v>0</v>
      </c>
      <c r="E56" s="11">
        <f t="shared" si="30"/>
        <v>0</v>
      </c>
      <c r="F56" s="16">
        <v>0</v>
      </c>
      <c r="G56" s="11">
        <f t="shared" si="31"/>
        <v>0</v>
      </c>
      <c r="H56" s="16">
        <v>0</v>
      </c>
      <c r="I56" s="11">
        <f t="shared" si="32"/>
        <v>0</v>
      </c>
      <c r="J56" s="16">
        <v>0</v>
      </c>
      <c r="K56" s="11">
        <f t="shared" si="33"/>
        <v>0</v>
      </c>
      <c r="L56" s="16">
        <v>0</v>
      </c>
      <c r="M56" s="11">
        <f t="shared" si="34"/>
        <v>0</v>
      </c>
      <c r="N56" s="16">
        <v>0</v>
      </c>
      <c r="O56" s="11">
        <f t="shared" si="35"/>
        <v>0</v>
      </c>
      <c r="P56" s="16">
        <v>0</v>
      </c>
      <c r="Q56" s="11">
        <f t="shared" si="36"/>
        <v>0</v>
      </c>
      <c r="R56" s="17">
        <v>0</v>
      </c>
      <c r="S56" s="11">
        <f t="shared" si="37"/>
        <v>0</v>
      </c>
      <c r="T56" s="12">
        <v>0</v>
      </c>
      <c r="U56" s="11">
        <f t="shared" si="38"/>
        <v>0</v>
      </c>
      <c r="V56" s="12">
        <f t="shared" si="39"/>
        <v>0</v>
      </c>
      <c r="W56" s="11">
        <f t="shared" si="40"/>
        <v>0</v>
      </c>
    </row>
    <row r="57" spans="1:23" x14ac:dyDescent="0.25">
      <c r="A57" s="15" t="s">
        <v>59</v>
      </c>
      <c r="B57" s="16">
        <v>0</v>
      </c>
      <c r="C57" s="11">
        <f t="shared" si="29"/>
        <v>0</v>
      </c>
      <c r="D57" s="16">
        <v>0</v>
      </c>
      <c r="E57" s="11">
        <f t="shared" si="30"/>
        <v>0</v>
      </c>
      <c r="F57" s="16">
        <v>0</v>
      </c>
      <c r="G57" s="11">
        <f t="shared" si="31"/>
        <v>0</v>
      </c>
      <c r="H57" s="16">
        <v>0</v>
      </c>
      <c r="I57" s="11">
        <f t="shared" si="32"/>
        <v>0</v>
      </c>
      <c r="J57" s="16">
        <v>0</v>
      </c>
      <c r="K57" s="11">
        <f t="shared" si="33"/>
        <v>0</v>
      </c>
      <c r="L57" s="16">
        <v>0</v>
      </c>
      <c r="M57" s="11">
        <f t="shared" si="34"/>
        <v>0</v>
      </c>
      <c r="N57" s="16">
        <v>0</v>
      </c>
      <c r="O57" s="11">
        <f t="shared" si="35"/>
        <v>0</v>
      </c>
      <c r="P57" s="16">
        <v>0</v>
      </c>
      <c r="Q57" s="11">
        <f t="shared" si="36"/>
        <v>0</v>
      </c>
      <c r="R57" s="17">
        <v>0</v>
      </c>
      <c r="S57" s="11">
        <f t="shared" si="37"/>
        <v>0</v>
      </c>
      <c r="T57" s="12">
        <v>0</v>
      </c>
      <c r="U57" s="11">
        <f t="shared" si="38"/>
        <v>0</v>
      </c>
      <c r="V57" s="12">
        <f t="shared" si="39"/>
        <v>0</v>
      </c>
      <c r="W57" s="11">
        <f t="shared" si="40"/>
        <v>0</v>
      </c>
    </row>
    <row r="58" spans="1:23" x14ac:dyDescent="0.25">
      <c r="A58" s="15" t="s">
        <v>19</v>
      </c>
      <c r="B58" s="16">
        <v>0</v>
      </c>
      <c r="C58" s="11">
        <f t="shared" si="29"/>
        <v>0</v>
      </c>
      <c r="D58" s="16">
        <v>0</v>
      </c>
      <c r="E58" s="11">
        <f t="shared" si="30"/>
        <v>0</v>
      </c>
      <c r="F58" s="16">
        <v>0</v>
      </c>
      <c r="G58" s="11">
        <f t="shared" si="31"/>
        <v>0</v>
      </c>
      <c r="H58" s="16">
        <v>0</v>
      </c>
      <c r="I58" s="11">
        <f t="shared" si="32"/>
        <v>0</v>
      </c>
      <c r="J58" s="16">
        <v>0</v>
      </c>
      <c r="K58" s="11">
        <f t="shared" si="33"/>
        <v>0</v>
      </c>
      <c r="L58" s="16">
        <v>0</v>
      </c>
      <c r="M58" s="11">
        <f t="shared" si="34"/>
        <v>0</v>
      </c>
      <c r="N58" s="16">
        <v>0</v>
      </c>
      <c r="O58" s="11">
        <f t="shared" si="35"/>
        <v>0</v>
      </c>
      <c r="P58" s="16">
        <v>0</v>
      </c>
      <c r="Q58" s="11">
        <f t="shared" si="36"/>
        <v>0</v>
      </c>
      <c r="R58" s="17">
        <v>0</v>
      </c>
      <c r="S58" s="11">
        <f t="shared" si="37"/>
        <v>0</v>
      </c>
      <c r="T58" s="12">
        <v>0</v>
      </c>
      <c r="U58" s="11">
        <f t="shared" si="38"/>
        <v>0</v>
      </c>
      <c r="V58" s="12">
        <f t="shared" si="39"/>
        <v>0</v>
      </c>
      <c r="W58" s="11">
        <f t="shared" si="40"/>
        <v>0</v>
      </c>
    </row>
    <row r="59" spans="1:23" x14ac:dyDescent="0.25">
      <c r="A59" s="15" t="s">
        <v>20</v>
      </c>
      <c r="B59" s="16">
        <v>6</v>
      </c>
      <c r="C59" s="11">
        <f t="shared" si="29"/>
        <v>8.4507042253521125E-2</v>
      </c>
      <c r="D59" s="16">
        <v>3</v>
      </c>
      <c r="E59" s="11">
        <f t="shared" si="30"/>
        <v>1.4999999999999999E-2</v>
      </c>
      <c r="F59" s="16">
        <v>2</v>
      </c>
      <c r="G59" s="11">
        <f t="shared" si="31"/>
        <v>1.9801980198019802E-2</v>
      </c>
      <c r="H59" s="16">
        <v>2</v>
      </c>
      <c r="I59" s="11">
        <f t="shared" si="32"/>
        <v>1.1235955056179775E-2</v>
      </c>
      <c r="J59" s="16">
        <v>1</v>
      </c>
      <c r="K59" s="11">
        <f t="shared" si="33"/>
        <v>5.9880239520958087E-3</v>
      </c>
      <c r="L59" s="16">
        <v>4</v>
      </c>
      <c r="M59" s="11">
        <f t="shared" si="34"/>
        <v>3.1496062992125984E-2</v>
      </c>
      <c r="N59" s="16">
        <v>0</v>
      </c>
      <c r="O59" s="11">
        <f t="shared" si="35"/>
        <v>0</v>
      </c>
      <c r="P59" s="16">
        <v>1</v>
      </c>
      <c r="Q59" s="11">
        <f t="shared" si="36"/>
        <v>9.3457943925233638E-3</v>
      </c>
      <c r="R59" s="17">
        <v>0</v>
      </c>
      <c r="S59" s="11">
        <f t="shared" si="37"/>
        <v>0</v>
      </c>
      <c r="T59" s="12">
        <v>0</v>
      </c>
      <c r="U59" s="11">
        <f t="shared" si="38"/>
        <v>0</v>
      </c>
      <c r="V59" s="12">
        <f t="shared" si="39"/>
        <v>19</v>
      </c>
      <c r="W59" s="11">
        <f t="shared" si="40"/>
        <v>1.6267123287671232E-2</v>
      </c>
    </row>
    <row r="60" spans="1:23" x14ac:dyDescent="0.25">
      <c r="A60" s="15" t="s">
        <v>21</v>
      </c>
      <c r="B60" s="16">
        <v>0</v>
      </c>
      <c r="C60" s="11">
        <f t="shared" si="29"/>
        <v>0</v>
      </c>
      <c r="D60" s="16">
        <v>0</v>
      </c>
      <c r="E60" s="11">
        <f t="shared" si="30"/>
        <v>0</v>
      </c>
      <c r="F60" s="16">
        <v>0</v>
      </c>
      <c r="G60" s="11">
        <f t="shared" si="31"/>
        <v>0</v>
      </c>
      <c r="H60" s="16">
        <v>0</v>
      </c>
      <c r="I60" s="11">
        <f t="shared" si="32"/>
        <v>0</v>
      </c>
      <c r="J60" s="16">
        <v>0</v>
      </c>
      <c r="K60" s="11">
        <f t="shared" si="33"/>
        <v>0</v>
      </c>
      <c r="L60" s="16">
        <v>0</v>
      </c>
      <c r="M60" s="11">
        <f t="shared" si="34"/>
        <v>0</v>
      </c>
      <c r="N60" s="16">
        <v>0</v>
      </c>
      <c r="O60" s="11">
        <f t="shared" si="35"/>
        <v>0</v>
      </c>
      <c r="P60" s="16">
        <v>2</v>
      </c>
      <c r="Q60" s="11">
        <f t="shared" si="36"/>
        <v>1.8691588785046728E-2</v>
      </c>
      <c r="R60" s="17">
        <v>0</v>
      </c>
      <c r="S60" s="11">
        <f t="shared" si="37"/>
        <v>0</v>
      </c>
      <c r="T60" s="12">
        <v>0</v>
      </c>
      <c r="U60" s="11">
        <f t="shared" si="38"/>
        <v>0</v>
      </c>
      <c r="V60" s="12">
        <f t="shared" si="39"/>
        <v>2</v>
      </c>
      <c r="W60" s="11">
        <f t="shared" si="40"/>
        <v>1.7123287671232876E-3</v>
      </c>
    </row>
    <row r="61" spans="1:23" x14ac:dyDescent="0.25">
      <c r="A61" s="15" t="s">
        <v>22</v>
      </c>
      <c r="B61" s="16">
        <v>0</v>
      </c>
      <c r="C61" s="11">
        <f t="shared" si="29"/>
        <v>0</v>
      </c>
      <c r="D61" s="16">
        <v>0</v>
      </c>
      <c r="E61" s="11">
        <f t="shared" si="30"/>
        <v>0</v>
      </c>
      <c r="F61" s="16">
        <v>0</v>
      </c>
      <c r="G61" s="11">
        <f t="shared" si="31"/>
        <v>0</v>
      </c>
      <c r="H61" s="16">
        <v>36</v>
      </c>
      <c r="I61" s="11">
        <f t="shared" si="32"/>
        <v>0.20224719101123595</v>
      </c>
      <c r="J61" s="16">
        <v>0</v>
      </c>
      <c r="K61" s="11">
        <f t="shared" si="33"/>
        <v>0</v>
      </c>
      <c r="L61" s="16">
        <v>0</v>
      </c>
      <c r="M61" s="11">
        <f t="shared" si="34"/>
        <v>0</v>
      </c>
      <c r="N61" s="16">
        <v>1</v>
      </c>
      <c r="O61" s="11">
        <f t="shared" si="35"/>
        <v>2.3255813953488372E-2</v>
      </c>
      <c r="P61" s="16">
        <v>13</v>
      </c>
      <c r="Q61" s="11">
        <f t="shared" si="36"/>
        <v>0.12149532710280374</v>
      </c>
      <c r="R61" s="17">
        <v>0</v>
      </c>
      <c r="S61" s="11">
        <f t="shared" si="37"/>
        <v>0</v>
      </c>
      <c r="T61" s="12">
        <v>0</v>
      </c>
      <c r="U61" s="11">
        <f t="shared" si="38"/>
        <v>0</v>
      </c>
      <c r="V61" s="12">
        <f t="shared" si="39"/>
        <v>50</v>
      </c>
      <c r="W61" s="11">
        <f t="shared" si="40"/>
        <v>4.2808219178082189E-2</v>
      </c>
    </row>
    <row r="62" spans="1:23" x14ac:dyDescent="0.25">
      <c r="A62" s="15" t="s">
        <v>23</v>
      </c>
      <c r="B62" s="16">
        <v>0</v>
      </c>
      <c r="C62" s="11">
        <f t="shared" si="29"/>
        <v>0</v>
      </c>
      <c r="D62" s="16">
        <v>0</v>
      </c>
      <c r="E62" s="11">
        <f t="shared" si="30"/>
        <v>0</v>
      </c>
      <c r="F62" s="16">
        <v>0</v>
      </c>
      <c r="G62" s="11">
        <f t="shared" si="31"/>
        <v>0</v>
      </c>
      <c r="H62" s="16">
        <v>4</v>
      </c>
      <c r="I62" s="11">
        <f t="shared" si="32"/>
        <v>2.247191011235955E-2</v>
      </c>
      <c r="J62" s="16">
        <v>1</v>
      </c>
      <c r="K62" s="11">
        <f t="shared" si="33"/>
        <v>5.9880239520958087E-3</v>
      </c>
      <c r="L62" s="16">
        <v>0</v>
      </c>
      <c r="M62" s="11">
        <f t="shared" si="34"/>
        <v>0</v>
      </c>
      <c r="N62" s="16">
        <v>0</v>
      </c>
      <c r="O62" s="11">
        <f t="shared" si="35"/>
        <v>0</v>
      </c>
      <c r="P62" s="16">
        <v>0</v>
      </c>
      <c r="Q62" s="11">
        <f t="shared" si="36"/>
        <v>0</v>
      </c>
      <c r="R62" s="17">
        <v>0</v>
      </c>
      <c r="S62" s="11">
        <f t="shared" si="37"/>
        <v>0</v>
      </c>
      <c r="T62" s="12">
        <v>0</v>
      </c>
      <c r="U62" s="11">
        <f t="shared" si="38"/>
        <v>0</v>
      </c>
      <c r="V62" s="12">
        <f t="shared" si="39"/>
        <v>5</v>
      </c>
      <c r="W62" s="11">
        <f t="shared" si="40"/>
        <v>4.2808219178082189E-3</v>
      </c>
    </row>
    <row r="63" spans="1:23" x14ac:dyDescent="0.25">
      <c r="A63" s="15" t="s">
        <v>24</v>
      </c>
      <c r="B63" s="16">
        <v>0</v>
      </c>
      <c r="C63" s="11">
        <f t="shared" si="29"/>
        <v>0</v>
      </c>
      <c r="D63" s="16">
        <v>0</v>
      </c>
      <c r="E63" s="11">
        <f t="shared" si="30"/>
        <v>0</v>
      </c>
      <c r="F63" s="16">
        <v>0</v>
      </c>
      <c r="G63" s="11">
        <f t="shared" si="31"/>
        <v>0</v>
      </c>
      <c r="H63" s="16">
        <v>0</v>
      </c>
      <c r="I63" s="11">
        <f t="shared" si="32"/>
        <v>0</v>
      </c>
      <c r="J63" s="16">
        <v>0</v>
      </c>
      <c r="K63" s="11">
        <f t="shared" si="33"/>
        <v>0</v>
      </c>
      <c r="L63" s="16">
        <v>0</v>
      </c>
      <c r="M63" s="11">
        <f t="shared" si="34"/>
        <v>0</v>
      </c>
      <c r="N63" s="16">
        <v>0</v>
      </c>
      <c r="O63" s="11">
        <f t="shared" si="35"/>
        <v>0</v>
      </c>
      <c r="P63" s="16">
        <v>0</v>
      </c>
      <c r="Q63" s="11">
        <f t="shared" si="36"/>
        <v>0</v>
      </c>
      <c r="R63" s="17">
        <v>0</v>
      </c>
      <c r="S63" s="11">
        <f t="shared" si="37"/>
        <v>0</v>
      </c>
      <c r="T63" s="12">
        <v>0</v>
      </c>
      <c r="U63" s="11">
        <f t="shared" si="38"/>
        <v>0</v>
      </c>
      <c r="V63" s="12">
        <f t="shared" si="39"/>
        <v>0</v>
      </c>
      <c r="W63" s="11">
        <f t="shared" si="40"/>
        <v>0</v>
      </c>
    </row>
    <row r="64" spans="1:23" x14ac:dyDescent="0.25">
      <c r="A64" s="15" t="s">
        <v>25</v>
      </c>
      <c r="B64" s="16">
        <v>0</v>
      </c>
      <c r="C64" s="11">
        <f t="shared" si="29"/>
        <v>0</v>
      </c>
      <c r="D64" s="16">
        <v>34</v>
      </c>
      <c r="E64" s="11">
        <f t="shared" si="30"/>
        <v>0.17</v>
      </c>
      <c r="F64" s="16">
        <v>4</v>
      </c>
      <c r="G64" s="11">
        <f t="shared" si="31"/>
        <v>3.9603960396039604E-2</v>
      </c>
      <c r="H64" s="16">
        <v>0</v>
      </c>
      <c r="I64" s="11">
        <f t="shared" si="32"/>
        <v>0</v>
      </c>
      <c r="J64" s="16">
        <v>34</v>
      </c>
      <c r="K64" s="11">
        <f t="shared" si="33"/>
        <v>0.20359281437125748</v>
      </c>
      <c r="L64" s="16">
        <v>20</v>
      </c>
      <c r="M64" s="11">
        <f t="shared" si="34"/>
        <v>0.15748031496062992</v>
      </c>
      <c r="N64" s="16">
        <v>1</v>
      </c>
      <c r="O64" s="11">
        <f t="shared" si="35"/>
        <v>2.3255813953488372E-2</v>
      </c>
      <c r="P64" s="16">
        <v>12</v>
      </c>
      <c r="Q64" s="11">
        <f t="shared" si="36"/>
        <v>0.11214953271028037</v>
      </c>
      <c r="R64" s="17">
        <v>0</v>
      </c>
      <c r="S64" s="11">
        <f t="shared" si="37"/>
        <v>0</v>
      </c>
      <c r="T64" s="12">
        <v>0</v>
      </c>
      <c r="U64" s="11">
        <f t="shared" si="38"/>
        <v>0</v>
      </c>
      <c r="V64" s="12">
        <f t="shared" si="39"/>
        <v>105</v>
      </c>
      <c r="W64" s="11">
        <f t="shared" si="40"/>
        <v>8.9897260273972601E-2</v>
      </c>
    </row>
    <row r="65" spans="1:23" x14ac:dyDescent="0.25">
      <c r="A65" s="15" t="s">
        <v>65</v>
      </c>
      <c r="B65" s="16">
        <v>0</v>
      </c>
      <c r="C65" s="11">
        <f t="shared" si="29"/>
        <v>0</v>
      </c>
      <c r="D65" s="16">
        <v>0</v>
      </c>
      <c r="E65" s="11">
        <f t="shared" si="30"/>
        <v>0</v>
      </c>
      <c r="F65" s="16">
        <v>4</v>
      </c>
      <c r="G65" s="11">
        <f t="shared" si="31"/>
        <v>3.9603960396039604E-2</v>
      </c>
      <c r="H65" s="16">
        <v>0</v>
      </c>
      <c r="I65" s="11">
        <f t="shared" si="32"/>
        <v>0</v>
      </c>
      <c r="J65" s="16">
        <v>2</v>
      </c>
      <c r="K65" s="11">
        <f t="shared" si="33"/>
        <v>1.1976047904191617E-2</v>
      </c>
      <c r="L65" s="16">
        <v>0</v>
      </c>
      <c r="M65" s="11">
        <f t="shared" si="34"/>
        <v>0</v>
      </c>
      <c r="N65" s="16">
        <v>0</v>
      </c>
      <c r="O65" s="11">
        <f t="shared" si="35"/>
        <v>0</v>
      </c>
      <c r="P65" s="16">
        <v>0</v>
      </c>
      <c r="Q65" s="11">
        <f t="shared" si="36"/>
        <v>0</v>
      </c>
      <c r="R65" s="17">
        <v>5</v>
      </c>
      <c r="S65" s="11">
        <f t="shared" si="37"/>
        <v>5.7471264367816091E-2</v>
      </c>
      <c r="T65" s="12">
        <v>6</v>
      </c>
      <c r="U65" s="11">
        <f t="shared" si="38"/>
        <v>6.8965517241379309E-2</v>
      </c>
      <c r="V65" s="12">
        <f t="shared" si="39"/>
        <v>17</v>
      </c>
      <c r="W65" s="11">
        <f t="shared" si="40"/>
        <v>1.4554794520547944E-2</v>
      </c>
    </row>
    <row r="66" spans="1:23" x14ac:dyDescent="0.25">
      <c r="A66" s="15" t="s">
        <v>66</v>
      </c>
      <c r="B66" s="16">
        <v>0</v>
      </c>
      <c r="C66" s="11">
        <f t="shared" si="29"/>
        <v>0</v>
      </c>
      <c r="D66" s="16">
        <v>0</v>
      </c>
      <c r="E66" s="11">
        <f t="shared" si="30"/>
        <v>0</v>
      </c>
      <c r="F66" s="16">
        <v>0</v>
      </c>
      <c r="G66" s="11">
        <f t="shared" si="31"/>
        <v>0</v>
      </c>
      <c r="H66" s="16">
        <v>0</v>
      </c>
      <c r="I66" s="11">
        <f t="shared" si="32"/>
        <v>0</v>
      </c>
      <c r="J66" s="16">
        <v>0</v>
      </c>
      <c r="K66" s="11">
        <f t="shared" si="33"/>
        <v>0</v>
      </c>
      <c r="L66" s="16">
        <v>0</v>
      </c>
      <c r="M66" s="11">
        <f t="shared" si="34"/>
        <v>0</v>
      </c>
      <c r="N66" s="16">
        <v>0</v>
      </c>
      <c r="O66" s="11">
        <f t="shared" si="35"/>
        <v>0</v>
      </c>
      <c r="P66" s="16">
        <v>0</v>
      </c>
      <c r="Q66" s="11">
        <f t="shared" si="36"/>
        <v>0</v>
      </c>
      <c r="R66" s="17">
        <v>0</v>
      </c>
      <c r="S66" s="11">
        <f t="shared" si="37"/>
        <v>0</v>
      </c>
      <c r="T66" s="12">
        <v>0</v>
      </c>
      <c r="U66" s="11">
        <f t="shared" si="38"/>
        <v>0</v>
      </c>
      <c r="V66" s="12">
        <f t="shared" si="39"/>
        <v>0</v>
      </c>
      <c r="W66" s="11">
        <f t="shared" si="40"/>
        <v>0</v>
      </c>
    </row>
    <row r="67" spans="1:23" x14ac:dyDescent="0.25">
      <c r="A67" s="15" t="s">
        <v>76</v>
      </c>
      <c r="B67" s="16">
        <v>12</v>
      </c>
      <c r="C67" s="11">
        <f t="shared" si="29"/>
        <v>0.16901408450704225</v>
      </c>
      <c r="D67" s="16">
        <v>8</v>
      </c>
      <c r="E67" s="11">
        <f t="shared" si="30"/>
        <v>0.04</v>
      </c>
      <c r="F67" s="16">
        <v>4</v>
      </c>
      <c r="G67" s="11">
        <f t="shared" si="31"/>
        <v>3.9603960396039604E-2</v>
      </c>
      <c r="H67" s="16">
        <v>31</v>
      </c>
      <c r="I67" s="11">
        <f t="shared" si="32"/>
        <v>0.17415730337078653</v>
      </c>
      <c r="J67" s="16">
        <v>1</v>
      </c>
      <c r="K67" s="11">
        <f t="shared" si="33"/>
        <v>5.9880239520958087E-3</v>
      </c>
      <c r="L67" s="16">
        <v>8</v>
      </c>
      <c r="M67" s="11">
        <f t="shared" si="34"/>
        <v>6.2992125984251968E-2</v>
      </c>
      <c r="N67" s="16">
        <v>0</v>
      </c>
      <c r="O67" s="11">
        <f t="shared" si="35"/>
        <v>0</v>
      </c>
      <c r="P67" s="16">
        <v>8</v>
      </c>
      <c r="Q67" s="11">
        <f t="shared" si="36"/>
        <v>7.476635514018691E-2</v>
      </c>
      <c r="R67" s="17">
        <v>12</v>
      </c>
      <c r="S67" s="11">
        <f t="shared" si="37"/>
        <v>0.13793103448275862</v>
      </c>
      <c r="T67" s="12">
        <v>0</v>
      </c>
      <c r="U67" s="11">
        <f t="shared" si="38"/>
        <v>0</v>
      </c>
      <c r="V67" s="12">
        <f t="shared" si="39"/>
        <v>84</v>
      </c>
      <c r="W67" s="11">
        <f t="shared" si="40"/>
        <v>7.1917808219178078E-2</v>
      </c>
    </row>
    <row r="68" spans="1:23" x14ac:dyDescent="0.25">
      <c r="A68" s="15" t="s">
        <v>92</v>
      </c>
      <c r="B68" s="16">
        <v>0</v>
      </c>
      <c r="C68" s="11">
        <f t="shared" si="29"/>
        <v>0</v>
      </c>
      <c r="D68" s="16">
        <v>12</v>
      </c>
      <c r="E68" s="11">
        <f t="shared" si="30"/>
        <v>0.06</v>
      </c>
      <c r="F68" s="16">
        <v>0</v>
      </c>
      <c r="G68" s="11">
        <f t="shared" si="31"/>
        <v>0</v>
      </c>
      <c r="H68" s="16">
        <v>0</v>
      </c>
      <c r="I68" s="11">
        <f t="shared" si="32"/>
        <v>0</v>
      </c>
      <c r="J68" s="16">
        <v>0</v>
      </c>
      <c r="K68" s="11">
        <f t="shared" si="33"/>
        <v>0</v>
      </c>
      <c r="L68" s="16">
        <v>7</v>
      </c>
      <c r="M68" s="11">
        <f t="shared" si="34"/>
        <v>5.5118110236220472E-2</v>
      </c>
      <c r="N68" s="16">
        <v>0</v>
      </c>
      <c r="O68" s="11">
        <f t="shared" si="35"/>
        <v>0</v>
      </c>
      <c r="P68" s="16">
        <v>0</v>
      </c>
      <c r="Q68" s="11">
        <f t="shared" si="36"/>
        <v>0</v>
      </c>
      <c r="R68" s="17">
        <v>0</v>
      </c>
      <c r="S68" s="11">
        <f t="shared" si="37"/>
        <v>0</v>
      </c>
      <c r="T68" s="12">
        <v>0</v>
      </c>
      <c r="U68" s="11">
        <f t="shared" si="38"/>
        <v>0</v>
      </c>
      <c r="V68" s="12">
        <f t="shared" si="39"/>
        <v>19</v>
      </c>
      <c r="W68" s="11">
        <f t="shared" si="40"/>
        <v>1.6267123287671232E-2</v>
      </c>
    </row>
    <row r="69" spans="1:23" x14ac:dyDescent="0.25">
      <c r="A69" s="15" t="s">
        <v>85</v>
      </c>
      <c r="B69" s="16">
        <v>0</v>
      </c>
      <c r="C69" s="11">
        <f t="shared" si="29"/>
        <v>0</v>
      </c>
      <c r="D69" s="16">
        <v>0</v>
      </c>
      <c r="E69" s="11">
        <f t="shared" si="30"/>
        <v>0</v>
      </c>
      <c r="F69" s="16">
        <v>0</v>
      </c>
      <c r="G69" s="11">
        <f t="shared" si="31"/>
        <v>0</v>
      </c>
      <c r="H69" s="16">
        <v>0</v>
      </c>
      <c r="I69" s="11">
        <f t="shared" si="32"/>
        <v>0</v>
      </c>
      <c r="J69" s="16">
        <v>6</v>
      </c>
      <c r="K69" s="11">
        <f t="shared" si="33"/>
        <v>3.5928143712574849E-2</v>
      </c>
      <c r="L69" s="16">
        <v>1</v>
      </c>
      <c r="M69" s="11">
        <f t="shared" si="34"/>
        <v>7.874015748031496E-3</v>
      </c>
      <c r="N69" s="16">
        <v>0</v>
      </c>
      <c r="O69" s="11">
        <f t="shared" si="35"/>
        <v>0</v>
      </c>
      <c r="P69" s="16">
        <v>3</v>
      </c>
      <c r="Q69" s="11">
        <f t="shared" si="36"/>
        <v>2.8037383177570093E-2</v>
      </c>
      <c r="R69" s="17">
        <v>0</v>
      </c>
      <c r="S69" s="11">
        <f t="shared" si="37"/>
        <v>0</v>
      </c>
      <c r="T69" s="12">
        <v>0</v>
      </c>
      <c r="U69" s="11">
        <f t="shared" si="38"/>
        <v>0</v>
      </c>
      <c r="V69" s="12">
        <f t="shared" si="39"/>
        <v>10</v>
      </c>
      <c r="W69" s="11">
        <f t="shared" si="40"/>
        <v>8.5616438356164379E-3</v>
      </c>
    </row>
    <row r="70" spans="1:23" x14ac:dyDescent="0.25">
      <c r="A70" s="15" t="s">
        <v>84</v>
      </c>
      <c r="B70" s="16">
        <v>1</v>
      </c>
      <c r="C70" s="11">
        <f t="shared" si="29"/>
        <v>1.4084507042253521E-2</v>
      </c>
      <c r="D70" s="16">
        <v>9</v>
      </c>
      <c r="E70" s="11">
        <f t="shared" si="30"/>
        <v>4.4999999999999998E-2</v>
      </c>
      <c r="F70" s="16">
        <v>6</v>
      </c>
      <c r="G70" s="11">
        <f t="shared" si="31"/>
        <v>5.9405940594059403E-2</v>
      </c>
      <c r="H70" s="16">
        <v>8</v>
      </c>
      <c r="I70" s="11">
        <f t="shared" si="32"/>
        <v>4.49438202247191E-2</v>
      </c>
      <c r="J70" s="16">
        <v>0</v>
      </c>
      <c r="K70" s="11">
        <f t="shared" si="33"/>
        <v>0</v>
      </c>
      <c r="L70" s="16">
        <v>8</v>
      </c>
      <c r="M70" s="11">
        <f t="shared" si="34"/>
        <v>6.2992125984251968E-2</v>
      </c>
      <c r="N70" s="16">
        <v>0</v>
      </c>
      <c r="O70" s="11">
        <f t="shared" si="35"/>
        <v>0</v>
      </c>
      <c r="P70" s="16">
        <v>9</v>
      </c>
      <c r="Q70" s="11">
        <f t="shared" si="36"/>
        <v>8.4112149532710276E-2</v>
      </c>
      <c r="R70" s="17">
        <v>3</v>
      </c>
      <c r="S70" s="11">
        <f t="shared" si="37"/>
        <v>3.4482758620689655E-2</v>
      </c>
      <c r="T70" s="12">
        <v>0</v>
      </c>
      <c r="U70" s="11">
        <f t="shared" si="38"/>
        <v>0</v>
      </c>
      <c r="V70" s="12">
        <f t="shared" si="39"/>
        <v>44</v>
      </c>
      <c r="W70" s="11">
        <f t="shared" si="40"/>
        <v>3.7671232876712327E-2</v>
      </c>
    </row>
    <row r="71" spans="1:23" x14ac:dyDescent="0.25">
      <c r="A71" s="28" t="s">
        <v>4</v>
      </c>
      <c r="B71" s="23">
        <f t="shared" ref="B71:U71" si="41">SUM(B50:B70)</f>
        <v>71</v>
      </c>
      <c r="C71" s="27">
        <f t="shared" si="41"/>
        <v>0.99999999999999989</v>
      </c>
      <c r="D71" s="23">
        <f t="shared" si="41"/>
        <v>200</v>
      </c>
      <c r="E71" s="27">
        <f t="shared" si="41"/>
        <v>1</v>
      </c>
      <c r="F71" s="23">
        <f t="shared" si="41"/>
        <v>101</v>
      </c>
      <c r="G71" s="27">
        <f t="shared" si="41"/>
        <v>1.0000000000000002</v>
      </c>
      <c r="H71" s="23">
        <f t="shared" si="41"/>
        <v>178</v>
      </c>
      <c r="I71" s="27">
        <f t="shared" si="41"/>
        <v>1</v>
      </c>
      <c r="J71" s="23">
        <f t="shared" si="41"/>
        <v>167</v>
      </c>
      <c r="K71" s="27">
        <f t="shared" si="41"/>
        <v>1.0000000000000002</v>
      </c>
      <c r="L71" s="23">
        <f t="shared" si="41"/>
        <v>127</v>
      </c>
      <c r="M71" s="27">
        <f t="shared" si="41"/>
        <v>0.99999999999999989</v>
      </c>
      <c r="N71" s="23">
        <f t="shared" si="41"/>
        <v>43</v>
      </c>
      <c r="O71" s="27">
        <f t="shared" si="41"/>
        <v>1</v>
      </c>
      <c r="P71" s="23">
        <f t="shared" si="41"/>
        <v>107</v>
      </c>
      <c r="Q71" s="27">
        <f t="shared" si="41"/>
        <v>1</v>
      </c>
      <c r="R71" s="23">
        <f t="shared" si="41"/>
        <v>87</v>
      </c>
      <c r="S71" s="27">
        <f t="shared" si="41"/>
        <v>0.99999999999999989</v>
      </c>
      <c r="T71" s="23">
        <f t="shared" si="41"/>
        <v>87</v>
      </c>
      <c r="U71" s="27">
        <f t="shared" si="41"/>
        <v>1</v>
      </c>
      <c r="V71" s="23">
        <f t="shared" ref="V71:W71" si="42">SUM(V50:V70)</f>
        <v>1168</v>
      </c>
      <c r="W71" s="27">
        <f t="shared" si="42"/>
        <v>0.99999999999999989</v>
      </c>
    </row>
    <row r="75" spans="1:23" ht="15.75" customHeight="1" x14ac:dyDescent="0.25">
      <c r="A75" s="29" t="s">
        <v>0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ht="15" customHeight="1" x14ac:dyDescent="0.25">
      <c r="A76" s="36" t="s">
        <v>26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ht="15" customHeight="1" x14ac:dyDescent="0.25">
      <c r="A77" s="31" t="s">
        <v>87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  <row r="78" spans="1:23" x14ac:dyDescent="0.25">
      <c r="A78" s="38" t="s">
        <v>89</v>
      </c>
      <c r="B78" s="34" t="s">
        <v>2</v>
      </c>
      <c r="C78" s="37"/>
      <c r="D78" s="37"/>
      <c r="E78" s="37"/>
      <c r="F78" s="37"/>
      <c r="G78" s="37"/>
      <c r="H78" s="37"/>
      <c r="I78" s="35"/>
      <c r="J78" s="34" t="s">
        <v>3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5"/>
      <c r="V78" s="49" t="s">
        <v>4</v>
      </c>
      <c r="W78" s="50"/>
    </row>
    <row r="79" spans="1:23" x14ac:dyDescent="0.25">
      <c r="A79" s="39"/>
      <c r="B79" s="34" t="s">
        <v>5</v>
      </c>
      <c r="C79" s="35"/>
      <c r="D79" s="34" t="s">
        <v>6</v>
      </c>
      <c r="E79" s="35"/>
      <c r="F79" s="34" t="s">
        <v>7</v>
      </c>
      <c r="G79" s="35"/>
      <c r="H79" s="34" t="s">
        <v>8</v>
      </c>
      <c r="I79" s="35"/>
      <c r="J79" s="34" t="s">
        <v>77</v>
      </c>
      <c r="K79" s="35"/>
      <c r="L79" s="34" t="s">
        <v>78</v>
      </c>
      <c r="M79" s="35"/>
      <c r="N79" s="34" t="s">
        <v>90</v>
      </c>
      <c r="O79" s="35"/>
      <c r="P79" s="34" t="s">
        <v>79</v>
      </c>
      <c r="Q79" s="35"/>
      <c r="R79" s="34" t="s">
        <v>80</v>
      </c>
      <c r="S79" s="35"/>
      <c r="T79" s="41" t="s">
        <v>86</v>
      </c>
      <c r="U79" s="43"/>
      <c r="V79" s="51"/>
      <c r="W79" s="52"/>
    </row>
    <row r="80" spans="1:23" x14ac:dyDescent="0.25">
      <c r="A80" s="40"/>
      <c r="B80" s="23" t="s">
        <v>9</v>
      </c>
      <c r="C80" s="24" t="s">
        <v>10</v>
      </c>
      <c r="D80" s="23" t="s">
        <v>9</v>
      </c>
      <c r="E80" s="24" t="s">
        <v>10</v>
      </c>
      <c r="F80" s="23" t="s">
        <v>9</v>
      </c>
      <c r="G80" s="24" t="s">
        <v>10</v>
      </c>
      <c r="H80" s="23" t="s">
        <v>9</v>
      </c>
      <c r="I80" s="24" t="s">
        <v>10</v>
      </c>
      <c r="J80" s="23" t="s">
        <v>9</v>
      </c>
      <c r="K80" s="24" t="s">
        <v>10</v>
      </c>
      <c r="L80" s="23" t="s">
        <v>9</v>
      </c>
      <c r="M80" s="24" t="s">
        <v>10</v>
      </c>
      <c r="N80" s="23" t="s">
        <v>9</v>
      </c>
      <c r="O80" s="24" t="s">
        <v>10</v>
      </c>
      <c r="P80" s="23" t="s">
        <v>9</v>
      </c>
      <c r="Q80" s="24" t="s">
        <v>10</v>
      </c>
      <c r="R80" s="23" t="s">
        <v>9</v>
      </c>
      <c r="S80" s="24" t="s">
        <v>10</v>
      </c>
      <c r="T80" s="23" t="s">
        <v>9</v>
      </c>
      <c r="U80" s="24" t="s">
        <v>10</v>
      </c>
      <c r="V80" s="23" t="s">
        <v>9</v>
      </c>
      <c r="W80" s="24" t="s">
        <v>10</v>
      </c>
    </row>
    <row r="81" spans="1:23" x14ac:dyDescent="0.25">
      <c r="A81" s="18" t="s">
        <v>27</v>
      </c>
      <c r="B81" s="16">
        <v>0</v>
      </c>
      <c r="C81" s="11">
        <f>B81/$B$114</f>
        <v>0</v>
      </c>
      <c r="D81" s="16">
        <v>0</v>
      </c>
      <c r="E81" s="11">
        <f>D81/$D$114</f>
        <v>0</v>
      </c>
      <c r="F81" s="16">
        <v>0</v>
      </c>
      <c r="G81" s="11">
        <f t="shared" ref="G81:G114" si="43">F81/$F$114</f>
        <v>0</v>
      </c>
      <c r="H81" s="16">
        <v>0</v>
      </c>
      <c r="I81" s="11">
        <f t="shared" ref="I81:I114" si="44">H81/$H$114</f>
        <v>0</v>
      </c>
      <c r="J81" s="16">
        <v>0</v>
      </c>
      <c r="K81" s="11">
        <f t="shared" ref="K81:K114" si="45">J81/$J$114</f>
        <v>0</v>
      </c>
      <c r="L81" s="16">
        <v>0</v>
      </c>
      <c r="M81" s="11">
        <f t="shared" ref="M81:M114" si="46">L81/$L$114</f>
        <v>0</v>
      </c>
      <c r="N81" s="16">
        <v>0</v>
      </c>
      <c r="O81" s="11">
        <f t="shared" ref="O81:O114" si="47">N81/$N$114</f>
        <v>0</v>
      </c>
      <c r="P81" s="16">
        <v>0</v>
      </c>
      <c r="Q81" s="11">
        <f t="shared" ref="Q81:Q114" si="48">P81/$P$114</f>
        <v>0</v>
      </c>
      <c r="R81" s="19">
        <v>0</v>
      </c>
      <c r="S81" s="11">
        <f>R81/$R$114</f>
        <v>0</v>
      </c>
      <c r="T81" s="12">
        <v>0</v>
      </c>
      <c r="U81" s="20">
        <f>T81/$T$114</f>
        <v>0</v>
      </c>
      <c r="V81" s="12">
        <f>B81+D81+F81+H81+J81+L81+N81+P81+R81+T81</f>
        <v>0</v>
      </c>
      <c r="W81" s="20">
        <f>V81/$V$114</f>
        <v>0</v>
      </c>
    </row>
    <row r="82" spans="1:23" x14ac:dyDescent="0.25">
      <c r="A82" s="18" t="s">
        <v>28</v>
      </c>
      <c r="B82" s="16">
        <v>0</v>
      </c>
      <c r="C82" s="11">
        <f t="shared" ref="C82:C114" si="49">B82/$B$114</f>
        <v>0</v>
      </c>
      <c r="D82" s="16">
        <v>0</v>
      </c>
      <c r="E82" s="11">
        <f t="shared" ref="E82:E114" si="50">D82/$D$114</f>
        <v>0</v>
      </c>
      <c r="F82" s="16">
        <v>0</v>
      </c>
      <c r="G82" s="11">
        <f t="shared" si="43"/>
        <v>0</v>
      </c>
      <c r="H82" s="16">
        <v>0</v>
      </c>
      <c r="I82" s="11">
        <f t="shared" si="44"/>
        <v>0</v>
      </c>
      <c r="J82" s="16">
        <v>0</v>
      </c>
      <c r="K82" s="11">
        <f t="shared" si="45"/>
        <v>0</v>
      </c>
      <c r="L82" s="16">
        <v>40</v>
      </c>
      <c r="M82" s="11">
        <f t="shared" si="46"/>
        <v>0.31496062992125984</v>
      </c>
      <c r="N82" s="16">
        <v>0</v>
      </c>
      <c r="O82" s="11">
        <f t="shared" si="47"/>
        <v>0</v>
      </c>
      <c r="P82" s="16">
        <v>0</v>
      </c>
      <c r="Q82" s="11">
        <f t="shared" si="48"/>
        <v>0</v>
      </c>
      <c r="R82" s="19">
        <v>0</v>
      </c>
      <c r="S82" s="11">
        <f t="shared" ref="S82:S114" si="51">R82/$R$114</f>
        <v>0</v>
      </c>
      <c r="T82" s="12">
        <v>0</v>
      </c>
      <c r="U82" s="20">
        <f t="shared" ref="U82:U113" si="52">T82/$T$114</f>
        <v>0</v>
      </c>
      <c r="V82" s="12">
        <f t="shared" ref="V82:V113" si="53">B82+D82+F82+H82+J82+L82+N82+P82+R82+T82</f>
        <v>40</v>
      </c>
      <c r="W82" s="20">
        <f t="shared" ref="W82:W113" si="54">V82/$V$114</f>
        <v>3.4246575342465752E-2</v>
      </c>
    </row>
    <row r="83" spans="1:23" x14ac:dyDescent="0.25">
      <c r="A83" s="18" t="s">
        <v>29</v>
      </c>
      <c r="B83" s="16">
        <v>0</v>
      </c>
      <c r="C83" s="11">
        <f t="shared" si="49"/>
        <v>0</v>
      </c>
      <c r="D83" s="16">
        <v>0</v>
      </c>
      <c r="E83" s="11">
        <f t="shared" si="50"/>
        <v>0</v>
      </c>
      <c r="F83" s="16">
        <v>0</v>
      </c>
      <c r="G83" s="11">
        <f t="shared" si="43"/>
        <v>0</v>
      </c>
      <c r="H83" s="16">
        <v>0</v>
      </c>
      <c r="I83" s="11">
        <f t="shared" si="44"/>
        <v>0</v>
      </c>
      <c r="J83" s="16">
        <v>0</v>
      </c>
      <c r="K83" s="11">
        <f t="shared" si="45"/>
        <v>0</v>
      </c>
      <c r="L83" s="16">
        <v>67</v>
      </c>
      <c r="M83" s="11">
        <f t="shared" si="46"/>
        <v>0.52755905511811019</v>
      </c>
      <c r="N83" s="16">
        <v>0</v>
      </c>
      <c r="O83" s="11">
        <f t="shared" si="47"/>
        <v>0</v>
      </c>
      <c r="P83" s="16">
        <v>0</v>
      </c>
      <c r="Q83" s="11">
        <f t="shared" si="48"/>
        <v>0</v>
      </c>
      <c r="R83" s="19">
        <v>0</v>
      </c>
      <c r="S83" s="11">
        <f t="shared" si="51"/>
        <v>0</v>
      </c>
      <c r="T83" s="12">
        <v>0</v>
      </c>
      <c r="U83" s="20">
        <f t="shared" si="52"/>
        <v>0</v>
      </c>
      <c r="V83" s="12">
        <f t="shared" si="53"/>
        <v>67</v>
      </c>
      <c r="W83" s="20">
        <f t="shared" si="54"/>
        <v>5.7363013698630137E-2</v>
      </c>
    </row>
    <row r="84" spans="1:23" x14ac:dyDescent="0.25">
      <c r="A84" s="18" t="s">
        <v>61</v>
      </c>
      <c r="B84" s="16">
        <f>24+47</f>
        <v>71</v>
      </c>
      <c r="C84" s="11">
        <f t="shared" si="49"/>
        <v>1</v>
      </c>
      <c r="D84" s="16">
        <f>87+95</f>
        <v>182</v>
      </c>
      <c r="E84" s="11">
        <f t="shared" si="50"/>
        <v>0.91</v>
      </c>
      <c r="F84" s="16">
        <f>59+38</f>
        <v>97</v>
      </c>
      <c r="G84" s="11">
        <f t="shared" si="43"/>
        <v>0.96039603960396036</v>
      </c>
      <c r="H84" s="16">
        <f>71+96</f>
        <v>167</v>
      </c>
      <c r="I84" s="11">
        <f t="shared" si="44"/>
        <v>0.9382022471910112</v>
      </c>
      <c r="J84" s="16">
        <v>0</v>
      </c>
      <c r="K84" s="11">
        <f t="shared" si="45"/>
        <v>0</v>
      </c>
      <c r="L84" s="16">
        <v>0</v>
      </c>
      <c r="M84" s="11">
        <f t="shared" si="46"/>
        <v>0</v>
      </c>
      <c r="N84" s="16">
        <v>0</v>
      </c>
      <c r="O84" s="11">
        <f t="shared" si="47"/>
        <v>0</v>
      </c>
      <c r="P84" s="16">
        <v>1</v>
      </c>
      <c r="Q84" s="11">
        <f t="shared" si="48"/>
        <v>9.3457943925233638E-3</v>
      </c>
      <c r="R84" s="19">
        <v>87</v>
      </c>
      <c r="S84" s="11">
        <f t="shared" si="51"/>
        <v>1</v>
      </c>
      <c r="T84" s="12">
        <v>0</v>
      </c>
      <c r="U84" s="20">
        <f t="shared" si="52"/>
        <v>0</v>
      </c>
      <c r="V84" s="12">
        <f t="shared" si="53"/>
        <v>605</v>
      </c>
      <c r="W84" s="20">
        <f t="shared" si="54"/>
        <v>0.51797945205479456</v>
      </c>
    </row>
    <row r="85" spans="1:23" x14ac:dyDescent="0.25">
      <c r="A85" s="18" t="s">
        <v>30</v>
      </c>
      <c r="B85" s="16">
        <v>0</v>
      </c>
      <c r="C85" s="11">
        <f t="shared" si="49"/>
        <v>0</v>
      </c>
      <c r="D85" s="16">
        <v>0</v>
      </c>
      <c r="E85" s="11">
        <f t="shared" si="50"/>
        <v>0</v>
      </c>
      <c r="F85" s="16">
        <v>0</v>
      </c>
      <c r="G85" s="11">
        <f t="shared" si="43"/>
        <v>0</v>
      </c>
      <c r="H85" s="16">
        <v>0</v>
      </c>
      <c r="I85" s="11">
        <f t="shared" si="44"/>
        <v>0</v>
      </c>
      <c r="J85" s="16">
        <v>0</v>
      </c>
      <c r="K85" s="11">
        <f t="shared" si="45"/>
        <v>0</v>
      </c>
      <c r="L85" s="16">
        <v>0</v>
      </c>
      <c r="M85" s="11">
        <f t="shared" si="46"/>
        <v>0</v>
      </c>
      <c r="N85" s="16">
        <v>0</v>
      </c>
      <c r="O85" s="11">
        <f t="shared" si="47"/>
        <v>0</v>
      </c>
      <c r="P85" s="16">
        <v>0</v>
      </c>
      <c r="Q85" s="11">
        <f t="shared" si="48"/>
        <v>0</v>
      </c>
      <c r="R85" s="19">
        <v>0</v>
      </c>
      <c r="S85" s="11">
        <f t="shared" si="51"/>
        <v>0</v>
      </c>
      <c r="T85" s="12">
        <v>0</v>
      </c>
      <c r="U85" s="20">
        <f t="shared" si="52"/>
        <v>0</v>
      </c>
      <c r="V85" s="12">
        <f t="shared" si="53"/>
        <v>0</v>
      </c>
      <c r="W85" s="20">
        <f t="shared" si="54"/>
        <v>0</v>
      </c>
    </row>
    <row r="86" spans="1:23" x14ac:dyDescent="0.25">
      <c r="A86" s="18" t="s">
        <v>31</v>
      </c>
      <c r="B86" s="16">
        <v>0</v>
      </c>
      <c r="C86" s="11">
        <f t="shared" si="49"/>
        <v>0</v>
      </c>
      <c r="D86" s="16">
        <v>0</v>
      </c>
      <c r="E86" s="11">
        <f t="shared" si="50"/>
        <v>0</v>
      </c>
      <c r="F86" s="16">
        <v>0</v>
      </c>
      <c r="G86" s="11">
        <f t="shared" si="43"/>
        <v>0</v>
      </c>
      <c r="H86" s="16">
        <v>0</v>
      </c>
      <c r="I86" s="11">
        <f t="shared" si="44"/>
        <v>0</v>
      </c>
      <c r="J86" s="16">
        <v>0</v>
      </c>
      <c r="K86" s="11">
        <f t="shared" si="45"/>
        <v>0</v>
      </c>
      <c r="L86" s="16">
        <v>0</v>
      </c>
      <c r="M86" s="11">
        <f t="shared" si="46"/>
        <v>0</v>
      </c>
      <c r="N86" s="16">
        <v>0</v>
      </c>
      <c r="O86" s="11">
        <f t="shared" si="47"/>
        <v>0</v>
      </c>
      <c r="P86" s="16">
        <v>0</v>
      </c>
      <c r="Q86" s="11">
        <f t="shared" si="48"/>
        <v>0</v>
      </c>
      <c r="R86" s="19">
        <v>0</v>
      </c>
      <c r="S86" s="11">
        <f t="shared" si="51"/>
        <v>0</v>
      </c>
      <c r="T86" s="12">
        <v>70</v>
      </c>
      <c r="U86" s="20">
        <f t="shared" si="52"/>
        <v>0.8045977011494253</v>
      </c>
      <c r="V86" s="12">
        <f t="shared" si="53"/>
        <v>70</v>
      </c>
      <c r="W86" s="20">
        <f t="shared" si="54"/>
        <v>5.9931506849315065E-2</v>
      </c>
    </row>
    <row r="87" spans="1:23" x14ac:dyDescent="0.25">
      <c r="A87" s="18" t="s">
        <v>33</v>
      </c>
      <c r="B87" s="16">
        <v>0</v>
      </c>
      <c r="C87" s="11">
        <f t="shared" si="49"/>
        <v>0</v>
      </c>
      <c r="D87" s="16">
        <v>0</v>
      </c>
      <c r="E87" s="11">
        <f t="shared" si="50"/>
        <v>0</v>
      </c>
      <c r="F87" s="16">
        <v>0</v>
      </c>
      <c r="G87" s="11">
        <f t="shared" si="43"/>
        <v>0</v>
      </c>
      <c r="H87" s="16">
        <v>0</v>
      </c>
      <c r="I87" s="11">
        <f t="shared" si="44"/>
        <v>0</v>
      </c>
      <c r="J87" s="16">
        <v>0</v>
      </c>
      <c r="K87" s="11">
        <f t="shared" si="45"/>
        <v>0</v>
      </c>
      <c r="L87" s="16">
        <v>0</v>
      </c>
      <c r="M87" s="11">
        <f t="shared" si="46"/>
        <v>0</v>
      </c>
      <c r="N87" s="16">
        <v>0</v>
      </c>
      <c r="O87" s="11">
        <f t="shared" si="47"/>
        <v>0</v>
      </c>
      <c r="P87" s="16">
        <v>9</v>
      </c>
      <c r="Q87" s="11">
        <f t="shared" si="48"/>
        <v>8.4112149532710276E-2</v>
      </c>
      <c r="R87" s="19">
        <v>0</v>
      </c>
      <c r="S87" s="11">
        <f t="shared" si="51"/>
        <v>0</v>
      </c>
      <c r="T87" s="12">
        <v>0</v>
      </c>
      <c r="U87" s="20">
        <f t="shared" si="52"/>
        <v>0</v>
      </c>
      <c r="V87" s="12">
        <f t="shared" si="53"/>
        <v>9</v>
      </c>
      <c r="W87" s="20">
        <f t="shared" si="54"/>
        <v>7.7054794520547941E-3</v>
      </c>
    </row>
    <row r="88" spans="1:23" x14ac:dyDescent="0.25">
      <c r="A88" s="18" t="s">
        <v>32</v>
      </c>
      <c r="B88" s="16">
        <v>0</v>
      </c>
      <c r="C88" s="11">
        <f t="shared" si="49"/>
        <v>0</v>
      </c>
      <c r="D88" s="16">
        <v>0</v>
      </c>
      <c r="E88" s="11">
        <f t="shared" si="50"/>
        <v>0</v>
      </c>
      <c r="F88" s="16">
        <v>0</v>
      </c>
      <c r="G88" s="11">
        <f t="shared" si="43"/>
        <v>0</v>
      </c>
      <c r="H88" s="16">
        <v>0</v>
      </c>
      <c r="I88" s="11">
        <f t="shared" si="44"/>
        <v>0</v>
      </c>
      <c r="J88" s="16">
        <v>0</v>
      </c>
      <c r="K88" s="11">
        <f t="shared" si="45"/>
        <v>0</v>
      </c>
      <c r="L88" s="16">
        <v>0</v>
      </c>
      <c r="M88" s="11">
        <f t="shared" si="46"/>
        <v>0</v>
      </c>
      <c r="N88" s="16">
        <v>0</v>
      </c>
      <c r="O88" s="11">
        <f t="shared" si="47"/>
        <v>0</v>
      </c>
      <c r="P88" s="16">
        <v>0</v>
      </c>
      <c r="Q88" s="11">
        <f t="shared" si="48"/>
        <v>0</v>
      </c>
      <c r="R88" s="19">
        <v>0</v>
      </c>
      <c r="S88" s="11">
        <f t="shared" si="51"/>
        <v>0</v>
      </c>
      <c r="T88" s="12">
        <v>0</v>
      </c>
      <c r="U88" s="20">
        <f t="shared" si="52"/>
        <v>0</v>
      </c>
      <c r="V88" s="12">
        <f t="shared" si="53"/>
        <v>0</v>
      </c>
      <c r="W88" s="20">
        <f t="shared" si="54"/>
        <v>0</v>
      </c>
    </row>
    <row r="89" spans="1:23" x14ac:dyDescent="0.25">
      <c r="A89" s="18" t="s">
        <v>34</v>
      </c>
      <c r="B89" s="16">
        <v>0</v>
      </c>
      <c r="C89" s="11">
        <f t="shared" si="49"/>
        <v>0</v>
      </c>
      <c r="D89" s="16">
        <v>0</v>
      </c>
      <c r="E89" s="11">
        <f t="shared" si="50"/>
        <v>0</v>
      </c>
      <c r="F89" s="16">
        <v>0</v>
      </c>
      <c r="G89" s="11">
        <f t="shared" si="43"/>
        <v>0</v>
      </c>
      <c r="H89" s="16">
        <v>0</v>
      </c>
      <c r="I89" s="11">
        <f t="shared" si="44"/>
        <v>0</v>
      </c>
      <c r="J89" s="16">
        <v>0</v>
      </c>
      <c r="K89" s="11">
        <f t="shared" si="45"/>
        <v>0</v>
      </c>
      <c r="L89" s="16">
        <v>0</v>
      </c>
      <c r="M89" s="11">
        <f t="shared" si="46"/>
        <v>0</v>
      </c>
      <c r="N89" s="16">
        <v>0</v>
      </c>
      <c r="O89" s="11">
        <f t="shared" si="47"/>
        <v>0</v>
      </c>
      <c r="P89" s="16">
        <v>0</v>
      </c>
      <c r="Q89" s="11">
        <f t="shared" si="48"/>
        <v>0</v>
      </c>
      <c r="R89" s="19">
        <v>0</v>
      </c>
      <c r="S89" s="11">
        <f t="shared" si="51"/>
        <v>0</v>
      </c>
      <c r="T89" s="12">
        <v>0</v>
      </c>
      <c r="U89" s="20">
        <f t="shared" si="52"/>
        <v>0</v>
      </c>
      <c r="V89" s="12">
        <f t="shared" si="53"/>
        <v>0</v>
      </c>
      <c r="W89" s="20">
        <f t="shared" si="54"/>
        <v>0</v>
      </c>
    </row>
    <row r="90" spans="1:23" x14ac:dyDescent="0.25">
      <c r="A90" s="18" t="s">
        <v>56</v>
      </c>
      <c r="B90" s="16">
        <v>0</v>
      </c>
      <c r="C90" s="11">
        <f t="shared" si="49"/>
        <v>0</v>
      </c>
      <c r="D90" s="16">
        <v>0</v>
      </c>
      <c r="E90" s="11">
        <f t="shared" si="50"/>
        <v>0</v>
      </c>
      <c r="F90" s="16">
        <v>0</v>
      </c>
      <c r="G90" s="11">
        <f t="shared" si="43"/>
        <v>0</v>
      </c>
      <c r="H90" s="16">
        <v>0</v>
      </c>
      <c r="I90" s="11">
        <f t="shared" si="44"/>
        <v>0</v>
      </c>
      <c r="J90" s="16">
        <v>0</v>
      </c>
      <c r="K90" s="11">
        <f t="shared" si="45"/>
        <v>0</v>
      </c>
      <c r="L90" s="16">
        <v>0</v>
      </c>
      <c r="M90" s="11">
        <f t="shared" si="46"/>
        <v>0</v>
      </c>
      <c r="N90" s="16">
        <v>0</v>
      </c>
      <c r="O90" s="11">
        <f t="shared" si="47"/>
        <v>0</v>
      </c>
      <c r="P90" s="16">
        <v>5</v>
      </c>
      <c r="Q90" s="11">
        <f t="shared" si="48"/>
        <v>4.6728971962616821E-2</v>
      </c>
      <c r="R90" s="19">
        <v>0</v>
      </c>
      <c r="S90" s="11">
        <f t="shared" si="51"/>
        <v>0</v>
      </c>
      <c r="T90" s="12">
        <v>0</v>
      </c>
      <c r="U90" s="20">
        <f t="shared" si="52"/>
        <v>0</v>
      </c>
      <c r="V90" s="12">
        <f t="shared" si="53"/>
        <v>5</v>
      </c>
      <c r="W90" s="20">
        <f t="shared" si="54"/>
        <v>4.2808219178082189E-3</v>
      </c>
    </row>
    <row r="91" spans="1:23" x14ac:dyDescent="0.25">
      <c r="A91" s="18" t="s">
        <v>39</v>
      </c>
      <c r="B91" s="16">
        <v>0</v>
      </c>
      <c r="C91" s="11">
        <f t="shared" si="49"/>
        <v>0</v>
      </c>
      <c r="D91" s="16">
        <v>0</v>
      </c>
      <c r="E91" s="11">
        <f t="shared" si="50"/>
        <v>0</v>
      </c>
      <c r="F91" s="16">
        <v>0</v>
      </c>
      <c r="G91" s="11">
        <f t="shared" si="43"/>
        <v>0</v>
      </c>
      <c r="H91" s="16">
        <v>0</v>
      </c>
      <c r="I91" s="11">
        <f t="shared" si="44"/>
        <v>0</v>
      </c>
      <c r="J91" s="16">
        <v>1</v>
      </c>
      <c r="K91" s="11">
        <f t="shared" si="45"/>
        <v>5.9880239520958087E-3</v>
      </c>
      <c r="L91" s="16">
        <v>0</v>
      </c>
      <c r="M91" s="11">
        <f t="shared" si="46"/>
        <v>0</v>
      </c>
      <c r="N91" s="16">
        <v>0</v>
      </c>
      <c r="O91" s="11">
        <f t="shared" si="47"/>
        <v>0</v>
      </c>
      <c r="P91" s="16">
        <v>0</v>
      </c>
      <c r="Q91" s="11">
        <f t="shared" si="48"/>
        <v>0</v>
      </c>
      <c r="R91" s="19">
        <v>0</v>
      </c>
      <c r="S91" s="11">
        <f t="shared" si="51"/>
        <v>0</v>
      </c>
      <c r="T91" s="12">
        <v>2</v>
      </c>
      <c r="U91" s="20">
        <f t="shared" si="52"/>
        <v>2.2988505747126436E-2</v>
      </c>
      <c r="V91" s="12">
        <f t="shared" si="53"/>
        <v>3</v>
      </c>
      <c r="W91" s="20">
        <f t="shared" si="54"/>
        <v>2.5684931506849314E-3</v>
      </c>
    </row>
    <row r="92" spans="1:23" x14ac:dyDescent="0.25">
      <c r="A92" s="18" t="s">
        <v>35</v>
      </c>
      <c r="B92" s="16">
        <v>0</v>
      </c>
      <c r="C92" s="11">
        <f t="shared" si="49"/>
        <v>0</v>
      </c>
      <c r="D92" s="16">
        <v>0</v>
      </c>
      <c r="E92" s="11">
        <f t="shared" si="50"/>
        <v>0</v>
      </c>
      <c r="F92" s="16">
        <v>0</v>
      </c>
      <c r="G92" s="11">
        <f t="shared" si="43"/>
        <v>0</v>
      </c>
      <c r="H92" s="16">
        <v>0</v>
      </c>
      <c r="I92" s="11">
        <f t="shared" si="44"/>
        <v>0</v>
      </c>
      <c r="J92" s="16">
        <v>0</v>
      </c>
      <c r="K92" s="11">
        <f t="shared" si="45"/>
        <v>0</v>
      </c>
      <c r="L92" s="16">
        <v>8</v>
      </c>
      <c r="M92" s="11">
        <f t="shared" si="46"/>
        <v>6.2992125984251968E-2</v>
      </c>
      <c r="N92" s="16">
        <v>0</v>
      </c>
      <c r="O92" s="11">
        <f t="shared" si="47"/>
        <v>0</v>
      </c>
      <c r="P92" s="16">
        <v>0</v>
      </c>
      <c r="Q92" s="11">
        <f t="shared" si="48"/>
        <v>0</v>
      </c>
      <c r="R92" s="19">
        <v>0</v>
      </c>
      <c r="S92" s="11">
        <f t="shared" si="51"/>
        <v>0</v>
      </c>
      <c r="T92" s="12">
        <v>0</v>
      </c>
      <c r="U92" s="20">
        <f t="shared" si="52"/>
        <v>0</v>
      </c>
      <c r="V92" s="12">
        <f t="shared" si="53"/>
        <v>8</v>
      </c>
      <c r="W92" s="20">
        <f t="shared" si="54"/>
        <v>6.8493150684931503E-3</v>
      </c>
    </row>
    <row r="93" spans="1:23" x14ac:dyDescent="0.25">
      <c r="A93" s="18" t="s">
        <v>36</v>
      </c>
      <c r="B93" s="16">
        <v>0</v>
      </c>
      <c r="C93" s="11">
        <f t="shared" si="49"/>
        <v>0</v>
      </c>
      <c r="D93" s="16">
        <v>0</v>
      </c>
      <c r="E93" s="11">
        <f t="shared" si="50"/>
        <v>0</v>
      </c>
      <c r="F93" s="16">
        <v>0</v>
      </c>
      <c r="G93" s="11">
        <f t="shared" si="43"/>
        <v>0</v>
      </c>
      <c r="H93" s="16">
        <v>0</v>
      </c>
      <c r="I93" s="11">
        <f t="shared" si="44"/>
        <v>0</v>
      </c>
      <c r="J93" s="16">
        <v>0</v>
      </c>
      <c r="K93" s="11">
        <f t="shared" si="45"/>
        <v>0</v>
      </c>
      <c r="L93" s="16">
        <v>0</v>
      </c>
      <c r="M93" s="11">
        <f t="shared" si="46"/>
        <v>0</v>
      </c>
      <c r="N93" s="16">
        <v>0</v>
      </c>
      <c r="O93" s="11">
        <f t="shared" si="47"/>
        <v>0</v>
      </c>
      <c r="P93" s="16">
        <v>11</v>
      </c>
      <c r="Q93" s="11">
        <f t="shared" si="48"/>
        <v>0.10280373831775701</v>
      </c>
      <c r="R93" s="19">
        <v>0</v>
      </c>
      <c r="S93" s="11">
        <f t="shared" si="51"/>
        <v>0</v>
      </c>
      <c r="T93" s="12">
        <v>0</v>
      </c>
      <c r="U93" s="20">
        <f t="shared" si="52"/>
        <v>0</v>
      </c>
      <c r="V93" s="12">
        <f t="shared" si="53"/>
        <v>11</v>
      </c>
      <c r="W93" s="20">
        <f t="shared" si="54"/>
        <v>9.4178082191780817E-3</v>
      </c>
    </row>
    <row r="94" spans="1:23" x14ac:dyDescent="0.25">
      <c r="A94" s="18" t="s">
        <v>37</v>
      </c>
      <c r="B94" s="16">
        <v>0</v>
      </c>
      <c r="C94" s="11">
        <f t="shared" si="49"/>
        <v>0</v>
      </c>
      <c r="D94" s="16">
        <v>0</v>
      </c>
      <c r="E94" s="11">
        <f t="shared" si="50"/>
        <v>0</v>
      </c>
      <c r="F94" s="16">
        <v>0</v>
      </c>
      <c r="G94" s="11">
        <f t="shared" si="43"/>
        <v>0</v>
      </c>
      <c r="H94" s="16">
        <v>0</v>
      </c>
      <c r="I94" s="11">
        <f t="shared" si="44"/>
        <v>0</v>
      </c>
      <c r="J94" s="16">
        <v>0</v>
      </c>
      <c r="K94" s="11">
        <f t="shared" si="45"/>
        <v>0</v>
      </c>
      <c r="L94" s="16">
        <v>0</v>
      </c>
      <c r="M94" s="11">
        <f t="shared" si="46"/>
        <v>0</v>
      </c>
      <c r="N94" s="16">
        <v>0</v>
      </c>
      <c r="O94" s="11">
        <f t="shared" si="47"/>
        <v>0</v>
      </c>
      <c r="P94" s="16">
        <v>66</v>
      </c>
      <c r="Q94" s="11">
        <f t="shared" si="48"/>
        <v>0.61682242990654201</v>
      </c>
      <c r="R94" s="19">
        <v>0</v>
      </c>
      <c r="S94" s="11">
        <f t="shared" si="51"/>
        <v>0</v>
      </c>
      <c r="T94" s="12">
        <v>0</v>
      </c>
      <c r="U94" s="20">
        <f t="shared" si="52"/>
        <v>0</v>
      </c>
      <c r="V94" s="12">
        <f t="shared" si="53"/>
        <v>66</v>
      </c>
      <c r="W94" s="20">
        <f t="shared" si="54"/>
        <v>5.650684931506849E-2</v>
      </c>
    </row>
    <row r="95" spans="1:23" x14ac:dyDescent="0.25">
      <c r="A95" s="18" t="s">
        <v>38</v>
      </c>
      <c r="B95" s="16">
        <v>0</v>
      </c>
      <c r="C95" s="11">
        <f t="shared" si="49"/>
        <v>0</v>
      </c>
      <c r="D95" s="16">
        <v>0</v>
      </c>
      <c r="E95" s="11">
        <f t="shared" si="50"/>
        <v>0</v>
      </c>
      <c r="F95" s="16">
        <v>0</v>
      </c>
      <c r="G95" s="11">
        <f t="shared" si="43"/>
        <v>0</v>
      </c>
      <c r="H95" s="16">
        <v>0</v>
      </c>
      <c r="I95" s="11">
        <f t="shared" si="44"/>
        <v>0</v>
      </c>
      <c r="J95" s="16">
        <v>1</v>
      </c>
      <c r="K95" s="11">
        <f t="shared" si="45"/>
        <v>5.9880239520958087E-3</v>
      </c>
      <c r="L95" s="16">
        <v>0</v>
      </c>
      <c r="M95" s="11">
        <f t="shared" si="46"/>
        <v>0</v>
      </c>
      <c r="N95" s="16">
        <v>0</v>
      </c>
      <c r="O95" s="11">
        <f t="shared" si="47"/>
        <v>0</v>
      </c>
      <c r="P95" s="16">
        <v>0</v>
      </c>
      <c r="Q95" s="11">
        <f t="shared" si="48"/>
        <v>0</v>
      </c>
      <c r="R95" s="19">
        <v>0</v>
      </c>
      <c r="S95" s="11">
        <f t="shared" si="51"/>
        <v>0</v>
      </c>
      <c r="T95" s="12">
        <v>0</v>
      </c>
      <c r="U95" s="20">
        <f t="shared" si="52"/>
        <v>0</v>
      </c>
      <c r="V95" s="12">
        <f t="shared" si="53"/>
        <v>1</v>
      </c>
      <c r="W95" s="20">
        <f t="shared" si="54"/>
        <v>8.5616438356164379E-4</v>
      </c>
    </row>
    <row r="96" spans="1:23" x14ac:dyDescent="0.25">
      <c r="A96" s="18" t="s">
        <v>40</v>
      </c>
      <c r="B96" s="16">
        <v>0</v>
      </c>
      <c r="C96" s="11">
        <f t="shared" si="49"/>
        <v>0</v>
      </c>
      <c r="D96" s="16">
        <v>0</v>
      </c>
      <c r="E96" s="11">
        <f t="shared" si="50"/>
        <v>0</v>
      </c>
      <c r="F96" s="16">
        <v>0</v>
      </c>
      <c r="G96" s="11">
        <f t="shared" si="43"/>
        <v>0</v>
      </c>
      <c r="H96" s="16">
        <v>0</v>
      </c>
      <c r="I96" s="11">
        <f t="shared" si="44"/>
        <v>0</v>
      </c>
      <c r="J96" s="16">
        <v>0</v>
      </c>
      <c r="K96" s="11">
        <f t="shared" si="45"/>
        <v>0</v>
      </c>
      <c r="L96" s="16">
        <v>0</v>
      </c>
      <c r="M96" s="11">
        <f t="shared" si="46"/>
        <v>0</v>
      </c>
      <c r="N96" s="16">
        <v>0</v>
      </c>
      <c r="O96" s="11">
        <f t="shared" si="47"/>
        <v>0</v>
      </c>
      <c r="P96" s="16">
        <v>0</v>
      </c>
      <c r="Q96" s="11">
        <f t="shared" si="48"/>
        <v>0</v>
      </c>
      <c r="R96" s="19">
        <v>0</v>
      </c>
      <c r="S96" s="11">
        <f t="shared" si="51"/>
        <v>0</v>
      </c>
      <c r="T96" s="12">
        <v>1</v>
      </c>
      <c r="U96" s="20">
        <f t="shared" si="52"/>
        <v>1.1494252873563218E-2</v>
      </c>
      <c r="V96" s="12">
        <f t="shared" si="53"/>
        <v>1</v>
      </c>
      <c r="W96" s="20">
        <f t="shared" si="54"/>
        <v>8.5616438356164379E-4</v>
      </c>
    </row>
    <row r="97" spans="1:23" x14ac:dyDescent="0.25">
      <c r="A97" s="18" t="s">
        <v>54</v>
      </c>
      <c r="B97" s="16">
        <v>0</v>
      </c>
      <c r="C97" s="11">
        <f t="shared" si="49"/>
        <v>0</v>
      </c>
      <c r="D97" s="16">
        <v>1</v>
      </c>
      <c r="E97" s="11">
        <f t="shared" si="50"/>
        <v>5.0000000000000001E-3</v>
      </c>
      <c r="F97" s="16">
        <v>0</v>
      </c>
      <c r="G97" s="11">
        <f t="shared" si="43"/>
        <v>0</v>
      </c>
      <c r="H97" s="16">
        <v>1</v>
      </c>
      <c r="I97" s="11">
        <f t="shared" si="44"/>
        <v>5.6179775280898875E-3</v>
      </c>
      <c r="J97" s="16">
        <v>0</v>
      </c>
      <c r="K97" s="11">
        <f t="shared" si="45"/>
        <v>0</v>
      </c>
      <c r="L97" s="16">
        <v>0</v>
      </c>
      <c r="M97" s="11">
        <f t="shared" si="46"/>
        <v>0</v>
      </c>
      <c r="N97" s="16">
        <v>0</v>
      </c>
      <c r="O97" s="11">
        <f t="shared" si="47"/>
        <v>0</v>
      </c>
      <c r="P97" s="16">
        <v>0</v>
      </c>
      <c r="Q97" s="11">
        <f t="shared" si="48"/>
        <v>0</v>
      </c>
      <c r="R97" s="19">
        <v>0</v>
      </c>
      <c r="S97" s="11">
        <f t="shared" si="51"/>
        <v>0</v>
      </c>
      <c r="T97" s="12">
        <v>0</v>
      </c>
      <c r="U97" s="20">
        <f t="shared" si="52"/>
        <v>0</v>
      </c>
      <c r="V97" s="12">
        <f t="shared" si="53"/>
        <v>2</v>
      </c>
      <c r="W97" s="20">
        <f t="shared" si="54"/>
        <v>1.7123287671232876E-3</v>
      </c>
    </row>
    <row r="98" spans="1:23" x14ac:dyDescent="0.25">
      <c r="A98" s="18" t="s">
        <v>41</v>
      </c>
      <c r="B98" s="16">
        <v>0</v>
      </c>
      <c r="C98" s="11">
        <f t="shared" si="49"/>
        <v>0</v>
      </c>
      <c r="D98" s="16">
        <v>0</v>
      </c>
      <c r="E98" s="11">
        <f t="shared" si="50"/>
        <v>0</v>
      </c>
      <c r="F98" s="16">
        <v>0</v>
      </c>
      <c r="G98" s="11">
        <f t="shared" si="43"/>
        <v>0</v>
      </c>
      <c r="H98" s="16">
        <v>0</v>
      </c>
      <c r="I98" s="11">
        <f t="shared" si="44"/>
        <v>0</v>
      </c>
      <c r="J98" s="16">
        <v>0</v>
      </c>
      <c r="K98" s="11">
        <f t="shared" si="45"/>
        <v>0</v>
      </c>
      <c r="L98" s="16">
        <v>0</v>
      </c>
      <c r="M98" s="11">
        <f t="shared" si="46"/>
        <v>0</v>
      </c>
      <c r="N98" s="16">
        <v>0</v>
      </c>
      <c r="O98" s="11">
        <f t="shared" si="47"/>
        <v>0</v>
      </c>
      <c r="P98" s="16">
        <v>0</v>
      </c>
      <c r="Q98" s="11">
        <f t="shared" si="48"/>
        <v>0</v>
      </c>
      <c r="R98" s="19">
        <v>0</v>
      </c>
      <c r="S98" s="11">
        <f t="shared" si="51"/>
        <v>0</v>
      </c>
      <c r="T98" s="12">
        <v>0</v>
      </c>
      <c r="U98" s="20">
        <f t="shared" si="52"/>
        <v>0</v>
      </c>
      <c r="V98" s="12">
        <f t="shared" si="53"/>
        <v>0</v>
      </c>
      <c r="W98" s="20">
        <f t="shared" si="54"/>
        <v>0</v>
      </c>
    </row>
    <row r="99" spans="1:23" x14ac:dyDescent="0.25">
      <c r="A99" s="18" t="s">
        <v>55</v>
      </c>
      <c r="B99" s="16">
        <v>0</v>
      </c>
      <c r="C99" s="11">
        <f t="shared" si="49"/>
        <v>0</v>
      </c>
      <c r="D99" s="16">
        <v>0</v>
      </c>
      <c r="E99" s="11">
        <f t="shared" si="50"/>
        <v>0</v>
      </c>
      <c r="F99" s="16">
        <v>0</v>
      </c>
      <c r="G99" s="11">
        <f t="shared" si="43"/>
        <v>0</v>
      </c>
      <c r="H99" s="16">
        <v>0</v>
      </c>
      <c r="I99" s="11">
        <f t="shared" si="44"/>
        <v>0</v>
      </c>
      <c r="J99" s="16">
        <v>0</v>
      </c>
      <c r="K99" s="11">
        <f t="shared" si="45"/>
        <v>0</v>
      </c>
      <c r="L99" s="16">
        <v>0</v>
      </c>
      <c r="M99" s="11">
        <f t="shared" si="46"/>
        <v>0</v>
      </c>
      <c r="N99" s="16">
        <v>0</v>
      </c>
      <c r="O99" s="11">
        <f t="shared" si="47"/>
        <v>0</v>
      </c>
      <c r="P99" s="16">
        <v>0</v>
      </c>
      <c r="Q99" s="11">
        <f t="shared" si="48"/>
        <v>0</v>
      </c>
      <c r="R99" s="19">
        <v>0</v>
      </c>
      <c r="S99" s="11">
        <f t="shared" si="51"/>
        <v>0</v>
      </c>
      <c r="T99" s="12">
        <v>0</v>
      </c>
      <c r="U99" s="20">
        <f t="shared" si="52"/>
        <v>0</v>
      </c>
      <c r="V99" s="12">
        <f t="shared" si="53"/>
        <v>0</v>
      </c>
      <c r="W99" s="20">
        <f t="shared" si="54"/>
        <v>0</v>
      </c>
    </row>
    <row r="100" spans="1:23" x14ac:dyDescent="0.25">
      <c r="A100" s="18" t="s">
        <v>91</v>
      </c>
      <c r="B100" s="16">
        <v>0</v>
      </c>
      <c r="C100" s="11">
        <f t="shared" si="49"/>
        <v>0</v>
      </c>
      <c r="D100" s="16">
        <v>7</v>
      </c>
      <c r="E100" s="11">
        <f t="shared" si="50"/>
        <v>3.5000000000000003E-2</v>
      </c>
      <c r="F100" s="16">
        <v>0</v>
      </c>
      <c r="G100" s="11">
        <f t="shared" si="43"/>
        <v>0</v>
      </c>
      <c r="H100" s="16">
        <v>0</v>
      </c>
      <c r="I100" s="11">
        <f t="shared" si="44"/>
        <v>0</v>
      </c>
      <c r="J100" s="16">
        <v>0</v>
      </c>
      <c r="K100" s="11">
        <f t="shared" si="45"/>
        <v>0</v>
      </c>
      <c r="L100" s="16">
        <v>0</v>
      </c>
      <c r="M100" s="11">
        <f t="shared" si="46"/>
        <v>0</v>
      </c>
      <c r="N100" s="16">
        <v>0</v>
      </c>
      <c r="O100" s="11">
        <f t="shared" si="47"/>
        <v>0</v>
      </c>
      <c r="P100" s="16">
        <v>0</v>
      </c>
      <c r="Q100" s="11">
        <f t="shared" si="48"/>
        <v>0</v>
      </c>
      <c r="R100" s="19">
        <v>0</v>
      </c>
      <c r="S100" s="11">
        <f t="shared" si="51"/>
        <v>0</v>
      </c>
      <c r="T100" s="12">
        <v>0</v>
      </c>
      <c r="U100" s="20">
        <f t="shared" si="52"/>
        <v>0</v>
      </c>
      <c r="V100" s="12">
        <f t="shared" si="53"/>
        <v>7</v>
      </c>
      <c r="W100" s="20">
        <f t="shared" si="54"/>
        <v>5.9931506849315065E-3</v>
      </c>
    </row>
    <row r="101" spans="1:23" x14ac:dyDescent="0.25">
      <c r="A101" s="18" t="s">
        <v>42</v>
      </c>
      <c r="B101" s="16">
        <v>0</v>
      </c>
      <c r="C101" s="11">
        <f t="shared" si="49"/>
        <v>0</v>
      </c>
      <c r="D101" s="16">
        <v>0</v>
      </c>
      <c r="E101" s="11">
        <f t="shared" si="50"/>
        <v>0</v>
      </c>
      <c r="F101" s="16">
        <v>0</v>
      </c>
      <c r="G101" s="11">
        <f t="shared" si="43"/>
        <v>0</v>
      </c>
      <c r="H101" s="16">
        <v>0</v>
      </c>
      <c r="I101" s="11">
        <f t="shared" si="44"/>
        <v>0</v>
      </c>
      <c r="J101" s="16">
        <v>0</v>
      </c>
      <c r="K101" s="11">
        <f t="shared" si="45"/>
        <v>0</v>
      </c>
      <c r="L101" s="16">
        <v>12</v>
      </c>
      <c r="M101" s="11">
        <f t="shared" si="46"/>
        <v>9.4488188976377951E-2</v>
      </c>
      <c r="N101" s="16">
        <v>0</v>
      </c>
      <c r="O101" s="11">
        <f t="shared" si="47"/>
        <v>0</v>
      </c>
      <c r="P101" s="16">
        <v>0</v>
      </c>
      <c r="Q101" s="11">
        <f t="shared" si="48"/>
        <v>0</v>
      </c>
      <c r="R101" s="19">
        <v>0</v>
      </c>
      <c r="S101" s="11">
        <f t="shared" si="51"/>
        <v>0</v>
      </c>
      <c r="T101" s="12">
        <v>0</v>
      </c>
      <c r="U101" s="20">
        <f t="shared" si="52"/>
        <v>0</v>
      </c>
      <c r="V101" s="12">
        <f t="shared" si="53"/>
        <v>12</v>
      </c>
      <c r="W101" s="20">
        <f t="shared" si="54"/>
        <v>1.0273972602739725E-2</v>
      </c>
    </row>
    <row r="102" spans="1:23" x14ac:dyDescent="0.25">
      <c r="A102" s="18" t="s">
        <v>43</v>
      </c>
      <c r="B102" s="16">
        <v>0</v>
      </c>
      <c r="C102" s="11">
        <f t="shared" si="49"/>
        <v>0</v>
      </c>
      <c r="D102" s="16">
        <v>0</v>
      </c>
      <c r="E102" s="11">
        <f t="shared" si="50"/>
        <v>0</v>
      </c>
      <c r="F102" s="16">
        <v>0</v>
      </c>
      <c r="G102" s="11">
        <f t="shared" si="43"/>
        <v>0</v>
      </c>
      <c r="H102" s="16">
        <v>0</v>
      </c>
      <c r="I102" s="11">
        <f t="shared" si="44"/>
        <v>0</v>
      </c>
      <c r="J102" s="16">
        <v>0</v>
      </c>
      <c r="K102" s="11">
        <f t="shared" si="45"/>
        <v>0</v>
      </c>
      <c r="L102" s="16">
        <v>0</v>
      </c>
      <c r="M102" s="11">
        <f t="shared" si="46"/>
        <v>0</v>
      </c>
      <c r="N102" s="16">
        <v>0</v>
      </c>
      <c r="O102" s="11">
        <f t="shared" si="47"/>
        <v>0</v>
      </c>
      <c r="P102" s="16">
        <v>3</v>
      </c>
      <c r="Q102" s="11">
        <f t="shared" si="48"/>
        <v>2.8037383177570093E-2</v>
      </c>
      <c r="R102" s="19">
        <v>0</v>
      </c>
      <c r="S102" s="11">
        <f t="shared" si="51"/>
        <v>0</v>
      </c>
      <c r="T102" s="12">
        <v>0</v>
      </c>
      <c r="U102" s="20">
        <f t="shared" si="52"/>
        <v>0</v>
      </c>
      <c r="V102" s="12">
        <f t="shared" si="53"/>
        <v>3</v>
      </c>
      <c r="W102" s="20">
        <f t="shared" si="54"/>
        <v>2.5684931506849314E-3</v>
      </c>
    </row>
    <row r="103" spans="1:23" x14ac:dyDescent="0.25">
      <c r="A103" s="18" t="s">
        <v>44</v>
      </c>
      <c r="B103" s="16">
        <v>0</v>
      </c>
      <c r="C103" s="11">
        <f t="shared" si="49"/>
        <v>0</v>
      </c>
      <c r="D103" s="16">
        <v>0</v>
      </c>
      <c r="E103" s="11">
        <f t="shared" si="50"/>
        <v>0</v>
      </c>
      <c r="F103" s="16">
        <v>0</v>
      </c>
      <c r="G103" s="11">
        <f t="shared" si="43"/>
        <v>0</v>
      </c>
      <c r="H103" s="16">
        <v>0</v>
      </c>
      <c r="I103" s="11">
        <f t="shared" si="44"/>
        <v>0</v>
      </c>
      <c r="J103" s="16">
        <v>6</v>
      </c>
      <c r="K103" s="11">
        <f t="shared" si="45"/>
        <v>3.5928143712574849E-2</v>
      </c>
      <c r="L103" s="16">
        <v>0</v>
      </c>
      <c r="M103" s="11">
        <f t="shared" si="46"/>
        <v>0</v>
      </c>
      <c r="N103" s="16">
        <v>0</v>
      </c>
      <c r="O103" s="11">
        <f t="shared" si="47"/>
        <v>0</v>
      </c>
      <c r="P103" s="16">
        <v>0</v>
      </c>
      <c r="Q103" s="11">
        <f t="shared" si="48"/>
        <v>0</v>
      </c>
      <c r="R103" s="19">
        <v>0</v>
      </c>
      <c r="S103" s="11">
        <f t="shared" si="51"/>
        <v>0</v>
      </c>
      <c r="T103" s="12">
        <v>0</v>
      </c>
      <c r="U103" s="20">
        <f t="shared" si="52"/>
        <v>0</v>
      </c>
      <c r="V103" s="12">
        <f t="shared" si="53"/>
        <v>6</v>
      </c>
      <c r="W103" s="20">
        <f t="shared" si="54"/>
        <v>5.1369863013698627E-3</v>
      </c>
    </row>
    <row r="104" spans="1:23" x14ac:dyDescent="0.25">
      <c r="A104" s="18" t="s">
        <v>45</v>
      </c>
      <c r="B104" s="16">
        <v>0</v>
      </c>
      <c r="C104" s="11">
        <f t="shared" si="49"/>
        <v>0</v>
      </c>
      <c r="D104" s="16">
        <v>0</v>
      </c>
      <c r="E104" s="11">
        <f t="shared" si="50"/>
        <v>0</v>
      </c>
      <c r="F104" s="16">
        <v>0</v>
      </c>
      <c r="G104" s="11">
        <f t="shared" si="43"/>
        <v>0</v>
      </c>
      <c r="H104" s="16">
        <v>0</v>
      </c>
      <c r="I104" s="11">
        <f t="shared" si="44"/>
        <v>0</v>
      </c>
      <c r="J104" s="16">
        <v>0</v>
      </c>
      <c r="K104" s="11">
        <f t="shared" si="45"/>
        <v>0</v>
      </c>
      <c r="L104" s="16">
        <v>0</v>
      </c>
      <c r="M104" s="11">
        <f t="shared" si="46"/>
        <v>0</v>
      </c>
      <c r="N104" s="16">
        <v>0</v>
      </c>
      <c r="O104" s="11">
        <f t="shared" si="47"/>
        <v>0</v>
      </c>
      <c r="P104" s="16">
        <v>0</v>
      </c>
      <c r="Q104" s="11">
        <f t="shared" si="48"/>
        <v>0</v>
      </c>
      <c r="R104" s="19">
        <v>0</v>
      </c>
      <c r="S104" s="11">
        <f t="shared" si="51"/>
        <v>0</v>
      </c>
      <c r="T104" s="12">
        <v>0</v>
      </c>
      <c r="U104" s="20">
        <f t="shared" si="52"/>
        <v>0</v>
      </c>
      <c r="V104" s="12">
        <f t="shared" si="53"/>
        <v>0</v>
      </c>
      <c r="W104" s="20">
        <f t="shared" si="54"/>
        <v>0</v>
      </c>
    </row>
    <row r="105" spans="1:23" x14ac:dyDescent="0.25">
      <c r="A105" s="18" t="s">
        <v>46</v>
      </c>
      <c r="B105" s="16">
        <v>0</v>
      </c>
      <c r="C105" s="11">
        <f t="shared" si="49"/>
        <v>0</v>
      </c>
      <c r="D105" s="16">
        <v>0</v>
      </c>
      <c r="E105" s="11">
        <f t="shared" si="50"/>
        <v>0</v>
      </c>
      <c r="F105" s="16">
        <v>0</v>
      </c>
      <c r="G105" s="11">
        <f t="shared" si="43"/>
        <v>0</v>
      </c>
      <c r="H105" s="16">
        <v>0</v>
      </c>
      <c r="I105" s="11">
        <f t="shared" si="44"/>
        <v>0</v>
      </c>
      <c r="J105" s="16">
        <v>0</v>
      </c>
      <c r="K105" s="11">
        <f t="shared" si="45"/>
        <v>0</v>
      </c>
      <c r="L105" s="16">
        <v>0</v>
      </c>
      <c r="M105" s="11">
        <f t="shared" si="46"/>
        <v>0</v>
      </c>
      <c r="N105" s="16">
        <v>0</v>
      </c>
      <c r="O105" s="11">
        <f t="shared" si="47"/>
        <v>0</v>
      </c>
      <c r="P105" s="16">
        <v>0</v>
      </c>
      <c r="Q105" s="11">
        <f t="shared" si="48"/>
        <v>0</v>
      </c>
      <c r="R105" s="19">
        <v>0</v>
      </c>
      <c r="S105" s="11">
        <f t="shared" si="51"/>
        <v>0</v>
      </c>
      <c r="T105" s="12">
        <v>14</v>
      </c>
      <c r="U105" s="20">
        <f t="shared" si="52"/>
        <v>0.16091954022988506</v>
      </c>
      <c r="V105" s="12">
        <f t="shared" si="53"/>
        <v>14</v>
      </c>
      <c r="W105" s="20">
        <f t="shared" si="54"/>
        <v>1.1986301369863013E-2</v>
      </c>
    </row>
    <row r="106" spans="1:23" x14ac:dyDescent="0.25">
      <c r="A106" s="18" t="s">
        <v>47</v>
      </c>
      <c r="B106" s="16">
        <v>0</v>
      </c>
      <c r="C106" s="11">
        <f t="shared" si="49"/>
        <v>0</v>
      </c>
      <c r="D106" s="16">
        <v>9</v>
      </c>
      <c r="E106" s="11">
        <f t="shared" si="50"/>
        <v>4.4999999999999998E-2</v>
      </c>
      <c r="F106" s="16">
        <v>4</v>
      </c>
      <c r="G106" s="11">
        <f t="shared" si="43"/>
        <v>3.9603960396039604E-2</v>
      </c>
      <c r="H106" s="16">
        <v>7</v>
      </c>
      <c r="I106" s="11">
        <f t="shared" si="44"/>
        <v>3.9325842696629212E-2</v>
      </c>
      <c r="J106" s="16">
        <v>0</v>
      </c>
      <c r="K106" s="11">
        <f t="shared" si="45"/>
        <v>0</v>
      </c>
      <c r="L106" s="16">
        <v>0</v>
      </c>
      <c r="M106" s="11">
        <f t="shared" si="46"/>
        <v>0</v>
      </c>
      <c r="N106" s="16">
        <v>43</v>
      </c>
      <c r="O106" s="11">
        <f t="shared" si="47"/>
        <v>1</v>
      </c>
      <c r="P106" s="16">
        <v>0</v>
      </c>
      <c r="Q106" s="11">
        <f t="shared" si="48"/>
        <v>0</v>
      </c>
      <c r="R106" s="19">
        <v>0</v>
      </c>
      <c r="S106" s="11">
        <f t="shared" si="51"/>
        <v>0</v>
      </c>
      <c r="T106" s="12">
        <v>0</v>
      </c>
      <c r="U106" s="20">
        <f t="shared" si="52"/>
        <v>0</v>
      </c>
      <c r="V106" s="12">
        <f t="shared" si="53"/>
        <v>63</v>
      </c>
      <c r="W106" s="20">
        <f t="shared" si="54"/>
        <v>5.3938356164383562E-2</v>
      </c>
    </row>
    <row r="107" spans="1:23" x14ac:dyDescent="0.25">
      <c r="A107" s="18" t="s">
        <v>57</v>
      </c>
      <c r="B107" s="16">
        <v>0</v>
      </c>
      <c r="C107" s="11">
        <f t="shared" si="49"/>
        <v>0</v>
      </c>
      <c r="D107" s="16">
        <v>0</v>
      </c>
      <c r="E107" s="11">
        <f t="shared" si="50"/>
        <v>0</v>
      </c>
      <c r="F107" s="16">
        <v>0</v>
      </c>
      <c r="G107" s="11">
        <f t="shared" si="43"/>
        <v>0</v>
      </c>
      <c r="H107" s="16">
        <v>0</v>
      </c>
      <c r="I107" s="11">
        <f t="shared" si="44"/>
        <v>0</v>
      </c>
      <c r="J107" s="16">
        <v>0</v>
      </c>
      <c r="K107" s="11">
        <f t="shared" si="45"/>
        <v>0</v>
      </c>
      <c r="L107" s="16">
        <v>0</v>
      </c>
      <c r="M107" s="11">
        <f t="shared" si="46"/>
        <v>0</v>
      </c>
      <c r="N107" s="16">
        <v>0</v>
      </c>
      <c r="O107" s="11">
        <f t="shared" si="47"/>
        <v>0</v>
      </c>
      <c r="P107" s="16">
        <v>0</v>
      </c>
      <c r="Q107" s="11">
        <f t="shared" si="48"/>
        <v>0</v>
      </c>
      <c r="R107" s="19">
        <v>0</v>
      </c>
      <c r="S107" s="11">
        <f t="shared" si="51"/>
        <v>0</v>
      </c>
      <c r="T107" s="12">
        <v>0</v>
      </c>
      <c r="U107" s="20">
        <f t="shared" si="52"/>
        <v>0</v>
      </c>
      <c r="V107" s="12">
        <f t="shared" si="53"/>
        <v>0</v>
      </c>
      <c r="W107" s="20">
        <f t="shared" si="54"/>
        <v>0</v>
      </c>
    </row>
    <row r="108" spans="1:23" x14ac:dyDescent="0.25">
      <c r="A108" s="18" t="s">
        <v>48</v>
      </c>
      <c r="B108" s="16">
        <v>0</v>
      </c>
      <c r="C108" s="11">
        <f t="shared" si="49"/>
        <v>0</v>
      </c>
      <c r="D108" s="16">
        <v>1</v>
      </c>
      <c r="E108" s="11">
        <f t="shared" si="50"/>
        <v>5.0000000000000001E-3</v>
      </c>
      <c r="F108" s="16">
        <v>0</v>
      </c>
      <c r="G108" s="11">
        <f t="shared" si="43"/>
        <v>0</v>
      </c>
      <c r="H108" s="16">
        <v>0</v>
      </c>
      <c r="I108" s="11">
        <f t="shared" si="44"/>
        <v>0</v>
      </c>
      <c r="J108" s="16">
        <v>0</v>
      </c>
      <c r="K108" s="11">
        <f t="shared" si="45"/>
        <v>0</v>
      </c>
      <c r="L108" s="16">
        <v>0</v>
      </c>
      <c r="M108" s="11">
        <f t="shared" si="46"/>
        <v>0</v>
      </c>
      <c r="N108" s="16">
        <v>0</v>
      </c>
      <c r="O108" s="11">
        <f t="shared" si="47"/>
        <v>0</v>
      </c>
      <c r="P108" s="16">
        <v>0</v>
      </c>
      <c r="Q108" s="11">
        <f t="shared" si="48"/>
        <v>0</v>
      </c>
      <c r="R108" s="19">
        <v>0</v>
      </c>
      <c r="S108" s="11">
        <f t="shared" si="51"/>
        <v>0</v>
      </c>
      <c r="T108" s="12">
        <v>0</v>
      </c>
      <c r="U108" s="20">
        <f t="shared" si="52"/>
        <v>0</v>
      </c>
      <c r="V108" s="12">
        <f t="shared" si="53"/>
        <v>1</v>
      </c>
      <c r="W108" s="20">
        <f t="shared" si="54"/>
        <v>8.5616438356164379E-4</v>
      </c>
    </row>
    <row r="109" spans="1:23" x14ac:dyDescent="0.25">
      <c r="A109" s="18" t="s">
        <v>49</v>
      </c>
      <c r="B109" s="16">
        <v>0</v>
      </c>
      <c r="C109" s="11">
        <f t="shared" si="49"/>
        <v>0</v>
      </c>
      <c r="D109" s="16">
        <v>0</v>
      </c>
      <c r="E109" s="11">
        <f t="shared" si="50"/>
        <v>0</v>
      </c>
      <c r="F109" s="16">
        <v>0</v>
      </c>
      <c r="G109" s="11">
        <f t="shared" si="43"/>
        <v>0</v>
      </c>
      <c r="H109" s="16">
        <v>3</v>
      </c>
      <c r="I109" s="11">
        <f t="shared" si="44"/>
        <v>1.6853932584269662E-2</v>
      </c>
      <c r="J109" s="16">
        <v>0</v>
      </c>
      <c r="K109" s="11">
        <f t="shared" si="45"/>
        <v>0</v>
      </c>
      <c r="L109" s="16">
        <v>0</v>
      </c>
      <c r="M109" s="11">
        <f t="shared" si="46"/>
        <v>0</v>
      </c>
      <c r="N109" s="16">
        <v>0</v>
      </c>
      <c r="O109" s="11">
        <f t="shared" si="47"/>
        <v>0</v>
      </c>
      <c r="P109" s="16">
        <v>12</v>
      </c>
      <c r="Q109" s="11">
        <f t="shared" si="48"/>
        <v>0.11214953271028037</v>
      </c>
      <c r="R109" s="19">
        <v>0</v>
      </c>
      <c r="S109" s="11">
        <f t="shared" si="51"/>
        <v>0</v>
      </c>
      <c r="T109" s="12">
        <v>0</v>
      </c>
      <c r="U109" s="20">
        <f t="shared" si="52"/>
        <v>0</v>
      </c>
      <c r="V109" s="12">
        <f t="shared" si="53"/>
        <v>15</v>
      </c>
      <c r="W109" s="20">
        <f t="shared" si="54"/>
        <v>1.2842465753424657E-2</v>
      </c>
    </row>
    <row r="110" spans="1:23" x14ac:dyDescent="0.25">
      <c r="A110" s="18" t="s">
        <v>50</v>
      </c>
      <c r="B110" s="16">
        <v>0</v>
      </c>
      <c r="C110" s="11">
        <f t="shared" si="49"/>
        <v>0</v>
      </c>
      <c r="D110" s="16">
        <v>0</v>
      </c>
      <c r="E110" s="11">
        <f t="shared" si="50"/>
        <v>0</v>
      </c>
      <c r="F110" s="16">
        <v>0</v>
      </c>
      <c r="G110" s="11">
        <f t="shared" si="43"/>
        <v>0</v>
      </c>
      <c r="H110" s="16">
        <v>0</v>
      </c>
      <c r="I110" s="11">
        <f t="shared" si="44"/>
        <v>0</v>
      </c>
      <c r="J110" s="16">
        <v>0</v>
      </c>
      <c r="K110" s="11">
        <f t="shared" si="45"/>
        <v>0</v>
      </c>
      <c r="L110" s="16">
        <v>0</v>
      </c>
      <c r="M110" s="11">
        <f t="shared" si="46"/>
        <v>0</v>
      </c>
      <c r="N110" s="16">
        <v>0</v>
      </c>
      <c r="O110" s="11">
        <f t="shared" si="47"/>
        <v>0</v>
      </c>
      <c r="P110" s="16">
        <v>0</v>
      </c>
      <c r="Q110" s="11">
        <f t="shared" si="48"/>
        <v>0</v>
      </c>
      <c r="R110" s="19">
        <v>0</v>
      </c>
      <c r="S110" s="11">
        <f t="shared" si="51"/>
        <v>0</v>
      </c>
      <c r="T110" s="12">
        <v>0</v>
      </c>
      <c r="U110" s="20">
        <f t="shared" si="52"/>
        <v>0</v>
      </c>
      <c r="V110" s="12">
        <f t="shared" si="53"/>
        <v>0</v>
      </c>
      <c r="W110" s="20">
        <f t="shared" si="54"/>
        <v>0</v>
      </c>
    </row>
    <row r="111" spans="1:23" x14ac:dyDescent="0.25">
      <c r="A111" s="18" t="s">
        <v>51</v>
      </c>
      <c r="B111" s="16">
        <v>0</v>
      </c>
      <c r="C111" s="11">
        <f t="shared" si="49"/>
        <v>0</v>
      </c>
      <c r="D111" s="16">
        <v>0</v>
      </c>
      <c r="E111" s="11">
        <f t="shared" si="50"/>
        <v>0</v>
      </c>
      <c r="F111" s="16">
        <v>0</v>
      </c>
      <c r="G111" s="11">
        <f t="shared" si="43"/>
        <v>0</v>
      </c>
      <c r="H111" s="16">
        <v>0</v>
      </c>
      <c r="I111" s="11">
        <f t="shared" si="44"/>
        <v>0</v>
      </c>
      <c r="J111" s="16">
        <v>156</v>
      </c>
      <c r="K111" s="11">
        <f t="shared" si="45"/>
        <v>0.93413173652694614</v>
      </c>
      <c r="L111" s="16">
        <v>0</v>
      </c>
      <c r="M111" s="11">
        <f t="shared" si="46"/>
        <v>0</v>
      </c>
      <c r="N111" s="16">
        <v>0</v>
      </c>
      <c r="O111" s="11">
        <f t="shared" si="47"/>
        <v>0</v>
      </c>
      <c r="P111" s="16">
        <v>0</v>
      </c>
      <c r="Q111" s="11">
        <f t="shared" si="48"/>
        <v>0</v>
      </c>
      <c r="R111" s="19">
        <v>0</v>
      </c>
      <c r="S111" s="11">
        <f t="shared" si="51"/>
        <v>0</v>
      </c>
      <c r="T111" s="12">
        <v>0</v>
      </c>
      <c r="U111" s="20">
        <f t="shared" si="52"/>
        <v>0</v>
      </c>
      <c r="V111" s="12">
        <f t="shared" si="53"/>
        <v>156</v>
      </c>
      <c r="W111" s="20">
        <f t="shared" si="54"/>
        <v>0.13356164383561644</v>
      </c>
    </row>
    <row r="112" spans="1:23" x14ac:dyDescent="0.25">
      <c r="A112" s="18" t="s">
        <v>52</v>
      </c>
      <c r="B112" s="16">
        <v>0</v>
      </c>
      <c r="C112" s="11">
        <f t="shared" si="49"/>
        <v>0</v>
      </c>
      <c r="D112" s="16">
        <v>0</v>
      </c>
      <c r="E112" s="11">
        <f t="shared" si="50"/>
        <v>0</v>
      </c>
      <c r="F112" s="16">
        <v>0</v>
      </c>
      <c r="G112" s="11">
        <f t="shared" si="43"/>
        <v>0</v>
      </c>
      <c r="H112" s="16">
        <v>0</v>
      </c>
      <c r="I112" s="11">
        <f t="shared" si="44"/>
        <v>0</v>
      </c>
      <c r="J112" s="16">
        <v>0</v>
      </c>
      <c r="K112" s="11">
        <f t="shared" si="45"/>
        <v>0</v>
      </c>
      <c r="L112" s="16">
        <v>0</v>
      </c>
      <c r="M112" s="11">
        <f t="shared" si="46"/>
        <v>0</v>
      </c>
      <c r="N112" s="16">
        <v>0</v>
      </c>
      <c r="O112" s="11">
        <f t="shared" si="47"/>
        <v>0</v>
      </c>
      <c r="P112" s="16">
        <v>0</v>
      </c>
      <c r="Q112" s="11">
        <f t="shared" si="48"/>
        <v>0</v>
      </c>
      <c r="R112" s="19">
        <v>0</v>
      </c>
      <c r="S112" s="11">
        <f t="shared" si="51"/>
        <v>0</v>
      </c>
      <c r="T112" s="12">
        <v>0</v>
      </c>
      <c r="U112" s="20">
        <f t="shared" si="52"/>
        <v>0</v>
      </c>
      <c r="V112" s="12">
        <f t="shared" si="53"/>
        <v>0</v>
      </c>
      <c r="W112" s="20">
        <f t="shared" si="54"/>
        <v>0</v>
      </c>
    </row>
    <row r="113" spans="1:23" x14ac:dyDescent="0.25">
      <c r="A113" s="18" t="s">
        <v>53</v>
      </c>
      <c r="B113" s="16">
        <v>0</v>
      </c>
      <c r="C113" s="11">
        <f t="shared" si="49"/>
        <v>0</v>
      </c>
      <c r="D113" s="16">
        <v>0</v>
      </c>
      <c r="E113" s="11">
        <f t="shared" si="50"/>
        <v>0</v>
      </c>
      <c r="F113" s="16">
        <v>0</v>
      </c>
      <c r="G113" s="11">
        <f t="shared" si="43"/>
        <v>0</v>
      </c>
      <c r="H113" s="16">
        <v>0</v>
      </c>
      <c r="I113" s="11">
        <f t="shared" si="44"/>
        <v>0</v>
      </c>
      <c r="J113" s="16">
        <v>3</v>
      </c>
      <c r="K113" s="11">
        <f t="shared" si="45"/>
        <v>1.7964071856287425E-2</v>
      </c>
      <c r="L113" s="16">
        <v>0</v>
      </c>
      <c r="M113" s="11">
        <f t="shared" si="46"/>
        <v>0</v>
      </c>
      <c r="N113" s="16">
        <v>0</v>
      </c>
      <c r="O113" s="11">
        <f t="shared" si="47"/>
        <v>0</v>
      </c>
      <c r="P113" s="16">
        <v>0</v>
      </c>
      <c r="Q113" s="11">
        <f t="shared" si="48"/>
        <v>0</v>
      </c>
      <c r="R113" s="19">
        <v>0</v>
      </c>
      <c r="S113" s="11">
        <f t="shared" si="51"/>
        <v>0</v>
      </c>
      <c r="T113" s="12">
        <v>0</v>
      </c>
      <c r="U113" s="20">
        <f t="shared" si="52"/>
        <v>0</v>
      </c>
      <c r="V113" s="12">
        <f t="shared" si="53"/>
        <v>3</v>
      </c>
      <c r="W113" s="20">
        <f t="shared" si="54"/>
        <v>2.5684931506849314E-3</v>
      </c>
    </row>
    <row r="114" spans="1:23" x14ac:dyDescent="0.25">
      <c r="A114" s="28" t="s">
        <v>4</v>
      </c>
      <c r="B114" s="23">
        <f>SUM(B81:B113)</f>
        <v>71</v>
      </c>
      <c r="C114" s="27">
        <f t="shared" si="49"/>
        <v>1</v>
      </c>
      <c r="D114" s="23">
        <f>SUM(D81:D113)</f>
        <v>200</v>
      </c>
      <c r="E114" s="27">
        <f t="shared" si="50"/>
        <v>1</v>
      </c>
      <c r="F114" s="23">
        <f>SUM(F81:F113)</f>
        <v>101</v>
      </c>
      <c r="G114" s="27">
        <f t="shared" si="43"/>
        <v>1</v>
      </c>
      <c r="H114" s="23">
        <f>SUM(H81:H113)</f>
        <v>178</v>
      </c>
      <c r="I114" s="27">
        <f t="shared" si="44"/>
        <v>1</v>
      </c>
      <c r="J114" s="23">
        <f>SUM(J81:J113)</f>
        <v>167</v>
      </c>
      <c r="K114" s="27">
        <f t="shared" si="45"/>
        <v>1</v>
      </c>
      <c r="L114" s="23">
        <f>SUM(L81:L113)</f>
        <v>127</v>
      </c>
      <c r="M114" s="27">
        <f t="shared" si="46"/>
        <v>1</v>
      </c>
      <c r="N114" s="23">
        <f>SUM(N81:N113)</f>
        <v>43</v>
      </c>
      <c r="O114" s="27">
        <f t="shared" si="47"/>
        <v>1</v>
      </c>
      <c r="P114" s="23">
        <f>SUM(P81:P113)</f>
        <v>107</v>
      </c>
      <c r="Q114" s="27">
        <f t="shared" si="48"/>
        <v>1</v>
      </c>
      <c r="R114" s="23">
        <f>SUM(R81:R113)</f>
        <v>87</v>
      </c>
      <c r="S114" s="27">
        <f t="shared" si="51"/>
        <v>1</v>
      </c>
      <c r="T114" s="23">
        <f>T81+T82+T83+T84+T85+T86+T87+T88+T89+T90+T91+T92+T93+T94+T95+T96+T97+T98+T99+T101+T102+T103+T104+T105+T106+T107+T108+T109+T110+T111+T112+T113</f>
        <v>87</v>
      </c>
      <c r="U114" s="27">
        <f>SUM(U81:U113)</f>
        <v>1</v>
      </c>
      <c r="V114" s="23">
        <f>V81+V82+V83+V84+V85+V86+V87+V88+V89+V90+V91+V92+V93+V94+V95+V96+V97+V98+V99+V100+V101+V102+V103+V104+V105+V106+V107+V108+V109+V110+V111+V112+V113</f>
        <v>1168</v>
      </c>
      <c r="W114" s="27">
        <f>SUM(W81:W113)</f>
        <v>0.99999999999999989</v>
      </c>
    </row>
    <row r="115" spans="1:23" x14ac:dyDescent="0.25">
      <c r="A115" s="1" t="s">
        <v>67</v>
      </c>
    </row>
    <row r="116" spans="1:23" ht="15.75" x14ac:dyDescent="0.25">
      <c r="J116" s="21"/>
    </row>
    <row r="117" spans="1:23" ht="15.75" x14ac:dyDescent="0.25">
      <c r="J117" s="22"/>
    </row>
    <row r="118" spans="1:23" ht="15.75" x14ac:dyDescent="0.25">
      <c r="J118" s="22"/>
    </row>
  </sheetData>
  <mergeCells count="69">
    <mergeCell ref="A78:A80"/>
    <mergeCell ref="F79:G79"/>
    <mergeCell ref="T79:U79"/>
    <mergeCell ref="J47:U47"/>
    <mergeCell ref="T48:U48"/>
    <mergeCell ref="L79:M79"/>
    <mergeCell ref="J79:K79"/>
    <mergeCell ref="A47:A49"/>
    <mergeCell ref="B48:C48"/>
    <mergeCell ref="V78:W79"/>
    <mergeCell ref="T6:U6"/>
    <mergeCell ref="J5:U5"/>
    <mergeCell ref="J78:U78"/>
    <mergeCell ref="R48:S48"/>
    <mergeCell ref="R79:S79"/>
    <mergeCell ref="P79:Q79"/>
    <mergeCell ref="N79:O79"/>
    <mergeCell ref="J26:U26"/>
    <mergeCell ref="T27:U27"/>
    <mergeCell ref="L27:M27"/>
    <mergeCell ref="N27:O27"/>
    <mergeCell ref="P27:Q27"/>
    <mergeCell ref="A43:XFD43"/>
    <mergeCell ref="V26:W27"/>
    <mergeCell ref="D79:E79"/>
    <mergeCell ref="B79:C79"/>
    <mergeCell ref="B78:I78"/>
    <mergeCell ref="R6:S6"/>
    <mergeCell ref="R27:S27"/>
    <mergeCell ref="B26:I26"/>
    <mergeCell ref="B27:C27"/>
    <mergeCell ref="D27:E27"/>
    <mergeCell ref="F27:G27"/>
    <mergeCell ref="H27:I27"/>
    <mergeCell ref="J27:K27"/>
    <mergeCell ref="H79:I79"/>
    <mergeCell ref="J6:K6"/>
    <mergeCell ref="L6:M6"/>
    <mergeCell ref="N6:O6"/>
    <mergeCell ref="P6:Q6"/>
    <mergeCell ref="A2:W2"/>
    <mergeCell ref="A3:W3"/>
    <mergeCell ref="A4:W4"/>
    <mergeCell ref="V5:W6"/>
    <mergeCell ref="A5:A7"/>
    <mergeCell ref="B5:I5"/>
    <mergeCell ref="B6:C6"/>
    <mergeCell ref="D6:E6"/>
    <mergeCell ref="F6:G6"/>
    <mergeCell ref="H6:I6"/>
    <mergeCell ref="A77:W77"/>
    <mergeCell ref="D48:E48"/>
    <mergeCell ref="F48:G48"/>
    <mergeCell ref="H48:I48"/>
    <mergeCell ref="B47:I47"/>
    <mergeCell ref="J48:K48"/>
    <mergeCell ref="V47:W48"/>
    <mergeCell ref="L48:M48"/>
    <mergeCell ref="N48:O48"/>
    <mergeCell ref="P48:Q48"/>
    <mergeCell ref="A75:W75"/>
    <mergeCell ref="A76:W76"/>
    <mergeCell ref="A44:W44"/>
    <mergeCell ref="A45:W45"/>
    <mergeCell ref="A46:W46"/>
    <mergeCell ref="A23:W23"/>
    <mergeCell ref="A24:W24"/>
    <mergeCell ref="A25:W25"/>
    <mergeCell ref="A26:A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60" verticalDpi="360" r:id="rId1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2025-01-15T16:02:49Z</cp:lastPrinted>
  <dcterms:created xsi:type="dcterms:W3CDTF">2022-07-11T13:01:47Z</dcterms:created>
  <dcterms:modified xsi:type="dcterms:W3CDTF">2025-01-15T16:03:32Z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